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11'!$A$1:$K$42</definedName>
  </definedNames>
  <calcPr fullCalcOnLoad="1"/>
</workbook>
</file>

<file path=xl/sharedStrings.xml><?xml version="1.0" encoding="utf-8"?>
<sst xmlns="http://schemas.openxmlformats.org/spreadsheetml/2006/main" count="122" uniqueCount="119">
  <si>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</si>
  <si>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</si>
  <si>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</si>
  <si>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</si>
  <si>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</si>
  <si>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</si>
  <si>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</si>
  <si>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</si>
  <si>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</si>
  <si>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</si>
  <si>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</si>
  <si>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</si>
  <si>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</si>
  <si>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</si>
  <si>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</si>
  <si>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</si>
  <si>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</si>
  <si>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</si>
  <si>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</si>
  <si>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</si>
  <si>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</si>
  <si>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</si>
  <si>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</si>
  <si>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</si>
  <si>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</si>
  <si>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</si>
  <si>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</si>
  <si>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</si>
  <si>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</si>
  <si>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</si>
  <si>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</si>
  <si>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</si>
  <si>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</si>
  <si>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</si>
  <si>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</si>
  <si>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</si>
  <si>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</si>
  <si>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</si>
  <si>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</si>
  <si>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</si>
  <si>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</si>
  <si>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</si>
  <si>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</si>
  <si>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</si>
  <si>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</si>
  <si>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</si>
  <si>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</si>
  <si>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</si>
  <si>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</si>
  <si>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</si>
  <si>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</si>
  <si>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</si>
  <si>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</si>
  <si>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</si>
  <si>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</si>
  <si>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</si>
  <si>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</si>
  <si>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</si>
  <si>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</si>
  <si>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</si>
  <si>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</si>
  <si>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</si>
  <si>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</si>
  <si>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</si>
  <si>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</si>
  <si>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</si>
  <si>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</si>
  <si>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</si>
  <si>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</si>
  <si>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</si>
  <si>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</si>
  <si>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</si>
  <si>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</si>
  <si>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</si>
  <si>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</si>
  <si>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</si>
  <si>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</si>
  <si>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</si>
  <si>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</si>
  <si>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</si>
  <si>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</si>
  <si>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</si>
  <si>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</si>
  <si>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</si>
  <si>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</si>
  <si>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</si>
  <si>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</si>
  <si>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</si>
  <si>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</si>
  <si>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</si>
  <si>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</si>
  <si>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</si>
  <si>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</si>
  <si>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</si>
  <si>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</si>
  <si>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</si>
  <si>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</si>
  <si>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</si>
  <si>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</si>
  <si>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</si>
  <si>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</si>
  <si>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</si>
  <si>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</si>
  <si>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</si>
  <si>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</si>
  <si>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</si>
  <si>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</si>
  <si>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</si>
  <si>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</si>
  <si>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</si>
  <si>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</si>
  <si>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</si>
  <si>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</si>
  <si>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</si>
  <si>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</si>
  <si>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</si>
  <si>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</si>
  <si>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</si>
  <si>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Профінансовано станом на 05.04.2016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</si>
</sst>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4" fillId="25" borderId="0" xfId="82" applyFont="1" applyFill="1" applyBorder="1" applyAlignment="1">
      <alignment/>
      <protection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4" fillId="0" borderId="12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60" zoomScaleNormal="67" zoomScalePageLayoutView="0" workbookViewId="0" topLeftCell="A1">
      <selection activeCell="L1" sqref="L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23.1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21.83203125" style="7" hidden="1" customWidth="1"/>
    <col min="23" max="23" width="21.16015625" style="7" hidden="1" customWidth="1"/>
    <col min="24" max="24" width="19.83203125" style="7" hidden="1" customWidth="1"/>
    <col min="25" max="25" width="23.5" style="7" hidden="1" customWidth="1"/>
    <col min="26" max="16384" width="9.33203125" style="7" customWidth="1"/>
  </cols>
  <sheetData>
    <row r="1" spans="1:8" ht="21" customHeight="1">
      <c r="A1" s="81" t="s">
        <v>11</v>
      </c>
      <c r="B1" s="81"/>
      <c r="C1" s="81"/>
      <c r="D1" s="81"/>
      <c r="E1" s="81"/>
      <c r="F1" s="81"/>
      <c r="G1" s="81"/>
      <c r="H1" s="81"/>
    </row>
    <row r="2" spans="1:8" ht="20.25" customHeight="1">
      <c r="A2" s="82" t="s">
        <v>12</v>
      </c>
      <c r="B2" s="82"/>
      <c r="C2" s="82"/>
      <c r="D2" s="82"/>
      <c r="E2" s="82"/>
      <c r="F2" s="82"/>
      <c r="G2" s="82"/>
      <c r="H2" s="82"/>
    </row>
    <row r="3" spans="3:7" ht="13.5" customHeight="1">
      <c r="C3" s="9"/>
      <c r="D3" s="8"/>
      <c r="E3" s="10"/>
      <c r="G3" s="11" t="s">
        <v>13</v>
      </c>
    </row>
    <row r="4" spans="1:25" ht="12" customHeight="1">
      <c r="A4" s="84" t="s">
        <v>8</v>
      </c>
      <c r="B4" s="12"/>
      <c r="C4" s="84" t="s">
        <v>14</v>
      </c>
      <c r="D4" s="83" t="s">
        <v>15</v>
      </c>
      <c r="E4" s="83" t="s">
        <v>0</v>
      </c>
      <c r="F4" s="83" t="s">
        <v>1</v>
      </c>
      <c r="G4" s="14" t="s">
        <v>2</v>
      </c>
      <c r="H4" s="83" t="s">
        <v>118</v>
      </c>
      <c r="K4" s="76" t="s">
        <v>43</v>
      </c>
      <c r="L4" s="79" t="s">
        <v>44</v>
      </c>
      <c r="M4" s="76" t="s">
        <v>45</v>
      </c>
      <c r="N4" s="76" t="s">
        <v>46</v>
      </c>
      <c r="O4" s="76" t="s">
        <v>47</v>
      </c>
      <c r="P4" s="76" t="s">
        <v>48</v>
      </c>
      <c r="Q4" s="76" t="s">
        <v>49</v>
      </c>
      <c r="R4" s="76" t="s">
        <v>50</v>
      </c>
      <c r="S4" s="76" t="s">
        <v>51</v>
      </c>
      <c r="T4" s="76" t="s">
        <v>52</v>
      </c>
      <c r="U4" s="76" t="s">
        <v>53</v>
      </c>
      <c r="V4" s="76" t="s">
        <v>54</v>
      </c>
      <c r="W4" s="76" t="s">
        <v>55</v>
      </c>
      <c r="X4" s="76" t="s">
        <v>56</v>
      </c>
      <c r="Y4" s="76" t="s">
        <v>57</v>
      </c>
    </row>
    <row r="5" spans="1:25" ht="55.5" customHeight="1">
      <c r="A5" s="84"/>
      <c r="B5" s="15" t="s">
        <v>9</v>
      </c>
      <c r="C5" s="84"/>
      <c r="D5" s="83"/>
      <c r="E5" s="83"/>
      <c r="F5" s="83"/>
      <c r="G5" s="13" t="s">
        <v>7</v>
      </c>
      <c r="H5" s="83"/>
      <c r="K5" s="77"/>
      <c r="L5" s="80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4"/>
      <c r="L6" s="49"/>
    </row>
    <row r="7" spans="1:12" s="16" customFormat="1" ht="19.5" customHeight="1">
      <c r="A7" s="74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8"/>
      <c r="L7" s="50"/>
    </row>
    <row r="8" spans="1:25" ht="37.5" customHeight="1">
      <c r="A8" s="17">
        <v>1</v>
      </c>
      <c r="B8" s="18"/>
      <c r="C8" s="19" t="s">
        <v>17</v>
      </c>
      <c r="D8" s="20">
        <f>D9+D24</f>
        <v>103342600</v>
      </c>
      <c r="E8" s="20">
        <f>E9</f>
        <v>31744000</v>
      </c>
      <c r="F8" s="20">
        <f>F24</f>
        <v>71598600</v>
      </c>
      <c r="G8" s="20">
        <f>G24</f>
        <v>71598600</v>
      </c>
      <c r="H8" s="20">
        <f>H9+H24</f>
        <v>7815827.21</v>
      </c>
      <c r="I8" s="43"/>
      <c r="J8" s="43"/>
      <c r="K8" s="51">
        <f>H8/D8*100</f>
        <v>7.563025519001844</v>
      </c>
      <c r="L8" s="58">
        <f>L9+L16</f>
        <v>2072889.7900000003</v>
      </c>
      <c r="M8" s="58">
        <f aca="true" t="shared" si="0" ref="M8:Y8">M9+M16</f>
        <v>112816</v>
      </c>
      <c r="N8" s="58">
        <f t="shared" si="0"/>
        <v>1300000</v>
      </c>
      <c r="O8" s="58">
        <f t="shared" si="0"/>
        <v>3700000</v>
      </c>
      <c r="P8" s="58">
        <f t="shared" si="0"/>
        <v>8500000</v>
      </c>
      <c r="Q8" s="58">
        <f t="shared" si="0"/>
        <v>5000000</v>
      </c>
      <c r="R8" s="58">
        <f t="shared" si="0"/>
        <v>6000000</v>
      </c>
      <c r="S8" s="58">
        <f t="shared" si="0"/>
        <v>2751184</v>
      </c>
      <c r="T8" s="58">
        <f t="shared" si="0"/>
        <v>1780000</v>
      </c>
      <c r="U8" s="58">
        <f t="shared" si="0"/>
        <v>1650000</v>
      </c>
      <c r="V8" s="58">
        <f t="shared" si="0"/>
        <v>650000</v>
      </c>
      <c r="W8" s="58">
        <f t="shared" si="0"/>
        <v>150000</v>
      </c>
      <c r="X8" s="58">
        <f t="shared" si="0"/>
        <v>150000</v>
      </c>
      <c r="Y8" s="58">
        <f t="shared" si="0"/>
        <v>31744000</v>
      </c>
    </row>
    <row r="9" spans="1:25" ht="18.75">
      <c r="A9" s="1"/>
      <c r="B9" s="21"/>
      <c r="C9" s="22" t="s">
        <v>18</v>
      </c>
      <c r="D9" s="23">
        <f>D11+D12+D14+D13+D15+D16+D10</f>
        <v>31744000</v>
      </c>
      <c r="E9" s="23">
        <f>E11+E12+E14+E13+E15+E16+E10</f>
        <v>31744000</v>
      </c>
      <c r="F9" s="23"/>
      <c r="G9" s="23"/>
      <c r="H9" s="23">
        <f>H11+H12+H14+H13+H15+H16+H10</f>
        <v>3039926.21</v>
      </c>
      <c r="K9" s="52">
        <f>H9/D9*100</f>
        <v>9.57638044984879</v>
      </c>
      <c r="L9" s="53">
        <f>M9+N9+O9-H10-H11-H12-H13-H14-H15</f>
        <v>986988.2500000002</v>
      </c>
      <c r="M9" s="25">
        <v>112816</v>
      </c>
      <c r="N9" s="25">
        <v>1000000</v>
      </c>
      <c r="O9" s="25">
        <f>1500000+1000000</f>
        <v>2500000</v>
      </c>
      <c r="P9" s="25">
        <f>2000000+5000000-1000000</f>
        <v>6000000</v>
      </c>
      <c r="Q9" s="25">
        <f>2000000+3000000-1000000</f>
        <v>4000000</v>
      </c>
      <c r="R9" s="25">
        <f>2000000+1000000+1000000</f>
        <v>4000000</v>
      </c>
      <c r="S9" s="25">
        <f>1340484+400000</f>
        <v>1740484</v>
      </c>
      <c r="T9" s="25">
        <f>630000+300000</f>
        <v>930000</v>
      </c>
      <c r="U9" s="25">
        <f>500000+300000</f>
        <v>800000</v>
      </c>
      <c r="V9" s="25">
        <v>500000</v>
      </c>
      <c r="W9" s="25"/>
      <c r="X9" s="25"/>
      <c r="Y9" s="25">
        <f>SUM(M9:X9)</f>
        <v>21583300</v>
      </c>
    </row>
    <row r="10" spans="1:12" ht="18.75">
      <c r="A10" s="1"/>
      <c r="B10" s="21"/>
      <c r="C10" s="24" t="s">
        <v>19</v>
      </c>
      <c r="D10" s="25">
        <f aca="true" t="shared" si="1" ref="D10:D15">E10+F10</f>
        <v>16116100</v>
      </c>
      <c r="E10" s="25">
        <f>5351600+10000000+764500</f>
        <v>16116100</v>
      </c>
      <c r="F10" s="23"/>
      <c r="G10" s="23"/>
      <c r="H10" s="25">
        <f>1079291.2+374029.81</f>
        <v>1453321.01</v>
      </c>
      <c r="K10" s="54">
        <f>H10/D10*100</f>
        <v>9.017820750677894</v>
      </c>
      <c r="L10" s="55"/>
    </row>
    <row r="11" spans="1:12" ht="18.75" hidden="1">
      <c r="A11" s="1"/>
      <c r="B11" s="21"/>
      <c r="C11" s="24" t="s">
        <v>20</v>
      </c>
      <c r="D11" s="25">
        <f t="shared" si="1"/>
        <v>0</v>
      </c>
      <c r="E11" s="25">
        <f>764500-764500</f>
        <v>0</v>
      </c>
      <c r="F11" s="23"/>
      <c r="G11" s="23"/>
      <c r="H11" s="44"/>
      <c r="K11" s="54"/>
      <c r="L11" s="55"/>
    </row>
    <row r="12" spans="1:12" ht="18.75">
      <c r="A12" s="1"/>
      <c r="B12" s="21"/>
      <c r="C12" s="24" t="s">
        <v>21</v>
      </c>
      <c r="D12" s="25">
        <f t="shared" si="1"/>
        <v>982900</v>
      </c>
      <c r="E12" s="25">
        <v>982900</v>
      </c>
      <c r="F12" s="23"/>
      <c r="G12" s="23"/>
      <c r="H12" s="44"/>
      <c r="K12" s="54"/>
      <c r="L12" s="55"/>
    </row>
    <row r="13" spans="1:12" s="4" customFormat="1" ht="18.75">
      <c r="A13" s="1"/>
      <c r="B13" s="5"/>
      <c r="C13" s="24" t="s">
        <v>22</v>
      </c>
      <c r="D13" s="25">
        <f t="shared" si="1"/>
        <v>2184300</v>
      </c>
      <c r="E13" s="25">
        <v>2184300</v>
      </c>
      <c r="F13" s="23"/>
      <c r="G13" s="23"/>
      <c r="H13" s="25">
        <f>331467.14+106925.68+394576.92</f>
        <v>832969.74</v>
      </c>
      <c r="K13" s="54">
        <f aca="true" t="shared" si="2" ref="K13:K23">H13/D13*100</f>
        <v>38.13440186787529</v>
      </c>
      <c r="L13" s="55"/>
    </row>
    <row r="14" spans="1:12" ht="18.75">
      <c r="A14" s="1"/>
      <c r="B14" s="21"/>
      <c r="C14" s="24" t="s">
        <v>5</v>
      </c>
      <c r="D14" s="25">
        <f t="shared" si="1"/>
        <v>2000000</v>
      </c>
      <c r="E14" s="25">
        <v>2000000</v>
      </c>
      <c r="F14" s="23"/>
      <c r="G14" s="23"/>
      <c r="H14" s="25">
        <f>112816+55640+105284+65797</f>
        <v>339537</v>
      </c>
      <c r="K14" s="54">
        <f t="shared" si="2"/>
        <v>16.97685</v>
      </c>
      <c r="L14" s="55"/>
    </row>
    <row r="15" spans="1:12" ht="41.25" customHeight="1">
      <c r="A15" s="1"/>
      <c r="B15" s="21"/>
      <c r="C15" s="24" t="s">
        <v>23</v>
      </c>
      <c r="D15" s="25">
        <f t="shared" si="1"/>
        <v>300000</v>
      </c>
      <c r="E15" s="25">
        <v>300000</v>
      </c>
      <c r="F15" s="23"/>
      <c r="G15" s="23"/>
      <c r="H15" s="44"/>
      <c r="K15" s="54"/>
      <c r="L15" s="55"/>
    </row>
    <row r="16" spans="1:25" ht="37.5">
      <c r="A16" s="1"/>
      <c r="B16" s="21"/>
      <c r="C16" s="24" t="s">
        <v>6</v>
      </c>
      <c r="D16" s="25">
        <f>D18+D19+D20+D21+D22+D23+D17</f>
        <v>10160700</v>
      </c>
      <c r="E16" s="25">
        <f>E18+E19+E20+E21+E22+E23+E17</f>
        <v>10160700</v>
      </c>
      <c r="F16" s="25"/>
      <c r="G16" s="12"/>
      <c r="H16" s="25">
        <f>H20+H17+H18+H19+H21+H22+H23</f>
        <v>414098.45999999996</v>
      </c>
      <c r="K16" s="54">
        <f t="shared" si="2"/>
        <v>4.075491452360565</v>
      </c>
      <c r="L16" s="53">
        <f>M16+N16+O16-H16</f>
        <v>1085901.54</v>
      </c>
      <c r="M16" s="25">
        <v>0</v>
      </c>
      <c r="N16" s="25">
        <v>300000</v>
      </c>
      <c r="O16" s="25">
        <f>700000+500000</f>
        <v>1200000</v>
      </c>
      <c r="P16" s="25">
        <f>1000000+2500000-1000000</f>
        <v>2500000</v>
      </c>
      <c r="Q16" s="25">
        <f>1000000+1000000-1000000</f>
        <v>1000000</v>
      </c>
      <c r="R16" s="25">
        <f>1000000+1000000</f>
        <v>2000000</v>
      </c>
      <c r="S16" s="25">
        <f>410700+600000</f>
        <v>1010700</v>
      </c>
      <c r="T16" s="25">
        <f>150000+700000</f>
        <v>850000</v>
      </c>
      <c r="U16" s="25">
        <f>150000+700000</f>
        <v>850000</v>
      </c>
      <c r="V16" s="25">
        <v>150000</v>
      </c>
      <c r="W16" s="25">
        <v>150000</v>
      </c>
      <c r="X16" s="25">
        <v>150000</v>
      </c>
      <c r="Y16" s="23">
        <f>SUM(M16:X16)</f>
        <v>10160700</v>
      </c>
    </row>
    <row r="17" spans="1:12" ht="18.75">
      <c r="A17" s="1"/>
      <c r="B17" s="21"/>
      <c r="C17" s="26" t="s">
        <v>24</v>
      </c>
      <c r="D17" s="27">
        <f aca="true" t="shared" si="3" ref="D17:D22">E17</f>
        <v>4293500</v>
      </c>
      <c r="E17" s="25">
        <f>2293500+2000000</f>
        <v>4293500</v>
      </c>
      <c r="F17" s="25"/>
      <c r="G17" s="12"/>
      <c r="H17" s="27">
        <f>4200+32600+91719.85+64356+30110</f>
        <v>222985.85</v>
      </c>
      <c r="K17" s="56">
        <f>H17/D17*100</f>
        <v>5.193568184464889</v>
      </c>
      <c r="L17" s="59"/>
    </row>
    <row r="18" spans="1:12" ht="18.75">
      <c r="A18" s="1"/>
      <c r="B18" s="21"/>
      <c r="C18" s="26" t="s">
        <v>25</v>
      </c>
      <c r="D18" s="27">
        <f t="shared" si="3"/>
        <v>3327600</v>
      </c>
      <c r="E18" s="27">
        <f>327600+3000000</f>
        <v>3327600</v>
      </c>
      <c r="F18" s="27"/>
      <c r="G18" s="28"/>
      <c r="H18" s="48"/>
      <c r="K18" s="56"/>
      <c r="L18" s="59"/>
    </row>
    <row r="19" spans="1:12" ht="18.75">
      <c r="A19" s="1"/>
      <c r="B19" s="21"/>
      <c r="C19" s="26" t="s">
        <v>26</v>
      </c>
      <c r="D19" s="27">
        <f t="shared" si="3"/>
        <v>655300</v>
      </c>
      <c r="E19" s="27">
        <v>655300</v>
      </c>
      <c r="F19" s="27"/>
      <c r="G19" s="28"/>
      <c r="H19" s="48"/>
      <c r="K19" s="56"/>
      <c r="L19" s="59"/>
    </row>
    <row r="20" spans="1:12" ht="37.5">
      <c r="A20" s="1"/>
      <c r="B20" s="21"/>
      <c r="C20" s="26" t="s">
        <v>27</v>
      </c>
      <c r="D20" s="27">
        <f t="shared" si="3"/>
        <v>819100</v>
      </c>
      <c r="E20" s="27">
        <v>819100</v>
      </c>
      <c r="F20" s="27"/>
      <c r="G20" s="28"/>
      <c r="H20" s="27">
        <f>128728.47+4200+9322.5+26497.92+3440+5590</f>
        <v>177778.89</v>
      </c>
      <c r="K20" s="56">
        <f t="shared" si="2"/>
        <v>21.704174093517274</v>
      </c>
      <c r="L20" s="59"/>
    </row>
    <row r="21" spans="1:12" ht="18.75">
      <c r="A21" s="1"/>
      <c r="B21" s="21"/>
      <c r="C21" s="26" t="s">
        <v>28</v>
      </c>
      <c r="D21" s="27">
        <f t="shared" si="3"/>
        <v>131100</v>
      </c>
      <c r="E21" s="27">
        <v>131100</v>
      </c>
      <c r="F21" s="27"/>
      <c r="G21" s="28"/>
      <c r="H21" s="47"/>
      <c r="K21" s="56"/>
      <c r="L21" s="59"/>
    </row>
    <row r="22" spans="1:12" ht="18.75" customHeight="1">
      <c r="A22" s="1"/>
      <c r="B22" s="21"/>
      <c r="C22" s="26" t="s">
        <v>29</v>
      </c>
      <c r="D22" s="27">
        <f t="shared" si="3"/>
        <v>395900</v>
      </c>
      <c r="E22" s="27">
        <v>395900</v>
      </c>
      <c r="F22" s="27"/>
      <c r="G22" s="28"/>
      <c r="H22" s="47"/>
      <c r="K22" s="56"/>
      <c r="L22" s="59"/>
    </row>
    <row r="23" spans="1:12" ht="58.5" customHeight="1">
      <c r="A23" s="1"/>
      <c r="B23" s="21"/>
      <c r="C23" s="26" t="s">
        <v>30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  <c r="K23" s="56">
        <f t="shared" si="2"/>
        <v>2.4774656261612784</v>
      </c>
      <c r="L23" s="59"/>
    </row>
    <row r="24" spans="1:25" ht="26.25" customHeight="1">
      <c r="A24" s="1"/>
      <c r="B24" s="21"/>
      <c r="C24" s="29" t="s">
        <v>32</v>
      </c>
      <c r="D24" s="30">
        <f>SUM(D25:D50)</f>
        <v>71598600</v>
      </c>
      <c r="E24" s="30"/>
      <c r="F24" s="30">
        <f>SUM(F25:F50)</f>
        <v>71598600</v>
      </c>
      <c r="G24" s="30">
        <f>SUM(G25:G50)</f>
        <v>71598600</v>
      </c>
      <c r="H24" s="30">
        <f>SUM(H25:H50)</f>
        <v>4775901</v>
      </c>
      <c r="K24" s="52">
        <f>H24/D24*100</f>
        <v>6.670383219783627</v>
      </c>
      <c r="L24" s="53">
        <f aca="true" t="shared" si="4" ref="L24:L87">M24+N24+O24-H24</f>
        <v>1364099</v>
      </c>
      <c r="M24" s="60">
        <f>SUM(M25:M49)</f>
        <v>0</v>
      </c>
      <c r="N24" s="60">
        <f aca="true" t="shared" si="5" ref="N24:Y24">SUM(N25:N49)</f>
        <v>0</v>
      </c>
      <c r="O24" s="60">
        <f>SUM(O25:O49)</f>
        <v>6140000</v>
      </c>
      <c r="P24" s="60">
        <f t="shared" si="5"/>
        <v>15908468.99</v>
      </c>
      <c r="Q24" s="60">
        <f t="shared" si="5"/>
        <v>11194131.01</v>
      </c>
      <c r="R24" s="60">
        <f t="shared" si="5"/>
        <v>5146801.38</v>
      </c>
      <c r="S24" s="60">
        <f t="shared" si="5"/>
        <v>16904859.62</v>
      </c>
      <c r="T24" s="60">
        <f t="shared" si="5"/>
        <v>100000</v>
      </c>
      <c r="U24" s="60">
        <f t="shared" si="5"/>
        <v>700000</v>
      </c>
      <c r="V24" s="60">
        <f t="shared" si="5"/>
        <v>6946629.57</v>
      </c>
      <c r="W24" s="60">
        <f t="shared" si="5"/>
        <v>3869370.4299999997</v>
      </c>
      <c r="X24" s="60">
        <f t="shared" si="5"/>
        <v>4688339</v>
      </c>
      <c r="Y24" s="60">
        <f t="shared" si="5"/>
        <v>71598600</v>
      </c>
    </row>
    <row r="25" spans="1:25" ht="26.25" customHeight="1">
      <c r="A25" s="1"/>
      <c r="B25" s="21"/>
      <c r="C25" s="61" t="s">
        <v>58</v>
      </c>
      <c r="D25" s="33">
        <f>F25</f>
        <v>200000</v>
      </c>
      <c r="E25" s="30"/>
      <c r="F25" s="33">
        <f>G25</f>
        <v>200000</v>
      </c>
      <c r="G25" s="33">
        <v>200000</v>
      </c>
      <c r="H25" s="44"/>
      <c r="K25" s="52"/>
      <c r="L25" s="53">
        <f t="shared" si="4"/>
        <v>100000</v>
      </c>
      <c r="M25" s="62"/>
      <c r="N25" s="46"/>
      <c r="O25" s="46">
        <v>100000</v>
      </c>
      <c r="P25" s="46">
        <v>100000</v>
      </c>
      <c r="Q25" s="46"/>
      <c r="R25" s="46"/>
      <c r="S25" s="46"/>
      <c r="T25" s="46"/>
      <c r="U25" s="46"/>
      <c r="V25" s="46"/>
      <c r="W25" s="46"/>
      <c r="X25" s="46"/>
      <c r="Y25" s="63">
        <f>SUM(M25:X25)</f>
        <v>200000</v>
      </c>
    </row>
    <row r="26" spans="1:25" ht="24.75" customHeight="1">
      <c r="A26" s="1"/>
      <c r="B26" s="21"/>
      <c r="C26" s="61" t="s">
        <v>59</v>
      </c>
      <c r="D26" s="33">
        <f aca="true" t="shared" si="6" ref="D26:D49">F26</f>
        <v>90000</v>
      </c>
      <c r="E26" s="30"/>
      <c r="F26" s="33">
        <f aca="true" t="shared" si="7" ref="F26:F49">G26</f>
        <v>90000</v>
      </c>
      <c r="G26" s="33">
        <v>90000</v>
      </c>
      <c r="H26" s="44"/>
      <c r="K26" s="52"/>
      <c r="L26" s="53">
        <f t="shared" si="4"/>
        <v>90000</v>
      </c>
      <c r="M26" s="62"/>
      <c r="N26" s="46"/>
      <c r="O26" s="46">
        <v>90000</v>
      </c>
      <c r="P26" s="46"/>
      <c r="Q26" s="46"/>
      <c r="R26" s="46"/>
      <c r="S26" s="46"/>
      <c r="T26" s="46"/>
      <c r="U26" s="46"/>
      <c r="V26" s="46"/>
      <c r="W26" s="46"/>
      <c r="X26" s="46"/>
      <c r="Y26" s="63">
        <f aca="true" t="shared" si="8" ref="Y26:Y49">SUM(M26:X26)</f>
        <v>90000</v>
      </c>
    </row>
    <row r="27" spans="1:25" ht="23.25" customHeight="1">
      <c r="A27" s="1"/>
      <c r="B27" s="21"/>
      <c r="C27" s="61" t="s">
        <v>60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44"/>
      <c r="K27" s="52"/>
      <c r="L27" s="53">
        <f t="shared" si="4"/>
        <v>300000</v>
      </c>
      <c r="M27" s="62"/>
      <c r="N27" s="46"/>
      <c r="O27" s="46">
        <v>300000</v>
      </c>
      <c r="P27" s="46">
        <v>171000</v>
      </c>
      <c r="Q27" s="46"/>
      <c r="R27" s="46"/>
      <c r="S27" s="46"/>
      <c r="T27" s="46"/>
      <c r="U27" s="46"/>
      <c r="V27" s="46"/>
      <c r="W27" s="46"/>
      <c r="X27" s="46"/>
      <c r="Y27" s="63">
        <f t="shared" si="8"/>
        <v>471000</v>
      </c>
    </row>
    <row r="28" spans="1:25" ht="23.25" customHeight="1">
      <c r="A28" s="1"/>
      <c r="B28" s="21"/>
      <c r="C28" s="61" t="s">
        <v>61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44"/>
      <c r="K28" s="52"/>
      <c r="L28" s="53">
        <f t="shared" si="4"/>
        <v>120000</v>
      </c>
      <c r="M28" s="62"/>
      <c r="N28" s="46"/>
      <c r="O28" s="46">
        <v>120000</v>
      </c>
      <c r="P28" s="46">
        <v>200000</v>
      </c>
      <c r="Q28" s="46"/>
      <c r="R28" s="46"/>
      <c r="S28" s="46"/>
      <c r="T28" s="46"/>
      <c r="U28" s="46"/>
      <c r="V28" s="46"/>
      <c r="W28" s="46"/>
      <c r="X28" s="46"/>
      <c r="Y28" s="63">
        <f t="shared" si="8"/>
        <v>320000</v>
      </c>
    </row>
    <row r="29" spans="1:25" ht="21" customHeight="1">
      <c r="A29" s="1"/>
      <c r="B29" s="21"/>
      <c r="C29" s="61" t="s">
        <v>62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44"/>
      <c r="K29" s="52"/>
      <c r="L29" s="53">
        <f t="shared" si="4"/>
        <v>250000</v>
      </c>
      <c r="M29" s="62"/>
      <c r="N29" s="46"/>
      <c r="O29" s="46">
        <v>250000</v>
      </c>
      <c r="P29" s="46"/>
      <c r="Q29" s="46"/>
      <c r="R29" s="46"/>
      <c r="S29" s="46"/>
      <c r="T29" s="46"/>
      <c r="U29" s="46"/>
      <c r="V29" s="46"/>
      <c r="W29" s="46"/>
      <c r="X29" s="46"/>
      <c r="Y29" s="63">
        <f t="shared" si="8"/>
        <v>250000</v>
      </c>
    </row>
    <row r="30" spans="1:25" ht="24" customHeight="1">
      <c r="A30" s="1"/>
      <c r="B30" s="21"/>
      <c r="C30" s="61" t="s">
        <v>63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44"/>
      <c r="K30" s="52"/>
      <c r="L30" s="53">
        <f t="shared" si="4"/>
        <v>0</v>
      </c>
      <c r="M30" s="62"/>
      <c r="N30" s="46"/>
      <c r="O30" s="46"/>
      <c r="P30" s="46"/>
      <c r="Q30" s="46"/>
      <c r="R30" s="46"/>
      <c r="S30" s="46"/>
      <c r="T30" s="46"/>
      <c r="U30" s="46"/>
      <c r="V30" s="46">
        <v>50000</v>
      </c>
      <c r="W30" s="46">
        <v>241000</v>
      </c>
      <c r="X30" s="46"/>
      <c r="Y30" s="63">
        <f t="shared" si="8"/>
        <v>291000</v>
      </c>
    </row>
    <row r="31" spans="1:25" ht="24" customHeight="1">
      <c r="A31" s="1"/>
      <c r="B31" s="21"/>
      <c r="C31" s="61" t="s">
        <v>64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4"/>
      <c r="K31" s="52"/>
      <c r="L31" s="53">
        <f t="shared" si="4"/>
        <v>0</v>
      </c>
      <c r="M31" s="62"/>
      <c r="N31" s="46"/>
      <c r="O31" s="46"/>
      <c r="P31" s="46"/>
      <c r="Q31" s="46">
        <v>300000</v>
      </c>
      <c r="R31" s="46">
        <v>146801.38</v>
      </c>
      <c r="S31" s="46">
        <f>253198.62-248339</f>
        <v>4859.619999999995</v>
      </c>
      <c r="T31" s="46"/>
      <c r="U31" s="46"/>
      <c r="V31" s="46"/>
      <c r="W31" s="46"/>
      <c r="X31" s="46">
        <v>248339</v>
      </c>
      <c r="Y31" s="63">
        <f t="shared" si="8"/>
        <v>700000</v>
      </c>
    </row>
    <row r="32" spans="1:25" ht="24.75" customHeight="1">
      <c r="A32" s="1"/>
      <c r="B32" s="21"/>
      <c r="C32" s="61" t="s">
        <v>65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4"/>
      <c r="K32" s="52"/>
      <c r="L32" s="53">
        <f t="shared" si="4"/>
        <v>80000</v>
      </c>
      <c r="M32" s="62"/>
      <c r="N32" s="46"/>
      <c r="O32" s="46">
        <v>80000</v>
      </c>
      <c r="P32" s="46"/>
      <c r="Q32" s="46"/>
      <c r="R32" s="46"/>
      <c r="S32" s="46"/>
      <c r="T32" s="46"/>
      <c r="U32" s="46"/>
      <c r="V32" s="46"/>
      <c r="W32" s="46"/>
      <c r="X32" s="46"/>
      <c r="Y32" s="63">
        <f t="shared" si="8"/>
        <v>80000</v>
      </c>
    </row>
    <row r="33" spans="1:25" ht="21" customHeight="1">
      <c r="A33" s="1"/>
      <c r="B33" s="21"/>
      <c r="C33" s="61" t="s">
        <v>66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</f>
        <v>146000</v>
      </c>
      <c r="K33" s="52"/>
      <c r="L33" s="53">
        <f t="shared" si="4"/>
        <v>-146000</v>
      </c>
      <c r="M33" s="62"/>
      <c r="N33" s="46"/>
      <c r="O33" s="46"/>
      <c r="P33" s="46">
        <v>500000</v>
      </c>
      <c r="Q33" s="46"/>
      <c r="R33" s="46"/>
      <c r="S33" s="46">
        <v>4000000</v>
      </c>
      <c r="T33" s="46"/>
      <c r="U33" s="46"/>
      <c r="V33" s="46">
        <v>2500000</v>
      </c>
      <c r="W33" s="46"/>
      <c r="X33" s="46"/>
      <c r="Y33" s="63">
        <f t="shared" si="8"/>
        <v>7000000</v>
      </c>
    </row>
    <row r="34" spans="1:25" ht="26.25" customHeight="1">
      <c r="A34" s="1"/>
      <c r="B34" s="21"/>
      <c r="C34" s="61" t="s">
        <v>67</v>
      </c>
      <c r="D34" s="33">
        <f t="shared" si="6"/>
        <v>840000</v>
      </c>
      <c r="E34" s="30"/>
      <c r="F34" s="33">
        <f t="shared" si="7"/>
        <v>840000</v>
      </c>
      <c r="G34" s="33">
        <v>840000</v>
      </c>
      <c r="H34" s="44"/>
      <c r="K34" s="52"/>
      <c r="L34" s="53">
        <f t="shared" si="4"/>
        <v>0</v>
      </c>
      <c r="M34" s="62"/>
      <c r="N34" s="46"/>
      <c r="O34" s="46"/>
      <c r="P34" s="46"/>
      <c r="Q34" s="46"/>
      <c r="R34" s="46"/>
      <c r="S34" s="46"/>
      <c r="T34" s="46"/>
      <c r="U34" s="46"/>
      <c r="V34" s="46">
        <v>420000</v>
      </c>
      <c r="W34" s="46">
        <v>420000</v>
      </c>
      <c r="X34" s="46"/>
      <c r="Y34" s="63">
        <f t="shared" si="8"/>
        <v>840000</v>
      </c>
    </row>
    <row r="35" spans="1:25" ht="26.25" customHeight="1">
      <c r="A35" s="1"/>
      <c r="B35" s="21"/>
      <c r="C35" s="61" t="s">
        <v>68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4"/>
      <c r="K35" s="52"/>
      <c r="L35" s="53">
        <f t="shared" si="4"/>
        <v>60000</v>
      </c>
      <c r="M35" s="62"/>
      <c r="N35" s="46"/>
      <c r="O35" s="46">
        <v>60000</v>
      </c>
      <c r="P35" s="46"/>
      <c r="Q35" s="46"/>
      <c r="R35" s="46"/>
      <c r="S35" s="46"/>
      <c r="T35" s="46"/>
      <c r="U35" s="46"/>
      <c r="V35" s="46"/>
      <c r="W35" s="46"/>
      <c r="X35" s="46"/>
      <c r="Y35" s="63">
        <f t="shared" si="8"/>
        <v>60000</v>
      </c>
    </row>
    <row r="36" spans="1:25" ht="26.25" customHeight="1">
      <c r="A36" s="1"/>
      <c r="B36" s="21"/>
      <c r="C36" s="61" t="s">
        <v>69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4"/>
      <c r="K36" s="52"/>
      <c r="L36" s="53">
        <f t="shared" si="4"/>
        <v>90000</v>
      </c>
      <c r="M36" s="62"/>
      <c r="N36" s="46"/>
      <c r="O36" s="46">
        <v>90000</v>
      </c>
      <c r="P36" s="46"/>
      <c r="Q36" s="46"/>
      <c r="R36" s="46"/>
      <c r="S36" s="46"/>
      <c r="T36" s="46"/>
      <c r="U36" s="46"/>
      <c r="V36" s="46"/>
      <c r="W36" s="46"/>
      <c r="X36" s="46"/>
      <c r="Y36" s="63">
        <f t="shared" si="8"/>
        <v>90000</v>
      </c>
    </row>
    <row r="37" spans="1:25" ht="26.25" customHeight="1">
      <c r="A37" s="1"/>
      <c r="B37" s="21"/>
      <c r="C37" s="61" t="s">
        <v>70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4"/>
      <c r="K37" s="52"/>
      <c r="L37" s="53">
        <f t="shared" si="4"/>
        <v>50000</v>
      </c>
      <c r="M37" s="62"/>
      <c r="N37" s="46"/>
      <c r="O37" s="46">
        <v>50000</v>
      </c>
      <c r="P37" s="46"/>
      <c r="Q37" s="46"/>
      <c r="R37" s="46"/>
      <c r="S37" s="46"/>
      <c r="T37" s="46"/>
      <c r="U37" s="46"/>
      <c r="V37" s="46"/>
      <c r="W37" s="46"/>
      <c r="X37" s="46"/>
      <c r="Y37" s="63">
        <f t="shared" si="8"/>
        <v>50000</v>
      </c>
    </row>
    <row r="38" spans="1:25" ht="23.25" customHeight="1">
      <c r="A38" s="1"/>
      <c r="B38" s="21"/>
      <c r="C38" s="61" t="s">
        <v>71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</f>
        <v>250000</v>
      </c>
      <c r="K38" s="54">
        <f>H38/D38*100</f>
        <v>1.0869565217391304</v>
      </c>
      <c r="L38" s="53">
        <f t="shared" si="4"/>
        <v>-250000</v>
      </c>
      <c r="M38" s="62"/>
      <c r="N38" s="46"/>
      <c r="O38" s="46"/>
      <c r="P38" s="46">
        <v>500000</v>
      </c>
      <c r="Q38" s="46"/>
      <c r="R38" s="46"/>
      <c r="S38" s="46">
        <v>12000000</v>
      </c>
      <c r="T38" s="46"/>
      <c r="U38" s="46"/>
      <c r="V38" s="46">
        <f>152379.64+3774249.93</f>
        <v>3926629.5700000003</v>
      </c>
      <c r="W38" s="46">
        <v>3073370.4299999997</v>
      </c>
      <c r="X38" s="46">
        <v>3500000</v>
      </c>
      <c r="Y38" s="63">
        <f t="shared" si="8"/>
        <v>23000000</v>
      </c>
    </row>
    <row r="39" spans="1:25" ht="22.5" customHeight="1">
      <c r="A39" s="1"/>
      <c r="B39" s="21"/>
      <c r="C39" s="61" t="s">
        <v>72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44"/>
      <c r="K39" s="54"/>
      <c r="L39" s="53">
        <f t="shared" si="4"/>
        <v>100000</v>
      </c>
      <c r="M39" s="62"/>
      <c r="N39" s="46"/>
      <c r="O39" s="46">
        <v>100000</v>
      </c>
      <c r="P39" s="46">
        <v>681600</v>
      </c>
      <c r="Q39" s="46">
        <v>500000</v>
      </c>
      <c r="R39" s="46"/>
      <c r="S39" s="46"/>
      <c r="T39" s="46"/>
      <c r="U39" s="46"/>
      <c r="V39" s="46"/>
      <c r="W39" s="46"/>
      <c r="X39" s="46"/>
      <c r="Y39" s="63">
        <f t="shared" si="8"/>
        <v>1281600</v>
      </c>
    </row>
    <row r="40" spans="1:25" ht="23.25" customHeight="1">
      <c r="A40" s="1"/>
      <c r="B40" s="21"/>
      <c r="C40" s="61" t="s">
        <v>73</v>
      </c>
      <c r="D40" s="33">
        <f t="shared" si="6"/>
        <v>5000000</v>
      </c>
      <c r="E40" s="30"/>
      <c r="F40" s="33">
        <f t="shared" si="7"/>
        <v>5000000</v>
      </c>
      <c r="G40" s="33">
        <v>5000000</v>
      </c>
      <c r="H40" s="44"/>
      <c r="K40" s="54"/>
      <c r="L40" s="53">
        <f t="shared" si="4"/>
        <v>0</v>
      </c>
      <c r="M40" s="62"/>
      <c r="N40" s="46"/>
      <c r="O40" s="46"/>
      <c r="P40" s="46">
        <v>2000000</v>
      </c>
      <c r="Q40" s="46">
        <v>2000000</v>
      </c>
      <c r="R40" s="46"/>
      <c r="S40" s="46">
        <v>500000</v>
      </c>
      <c r="T40" s="46"/>
      <c r="U40" s="46"/>
      <c r="V40" s="46"/>
      <c r="W40" s="46"/>
      <c r="X40" s="46">
        <v>500000</v>
      </c>
      <c r="Y40" s="63">
        <f t="shared" si="8"/>
        <v>5000000</v>
      </c>
    </row>
    <row r="41" spans="1:25" ht="23.25" customHeight="1">
      <c r="A41" s="1"/>
      <c r="B41" s="21"/>
      <c r="C41" s="61" t="s">
        <v>74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173000+900000</f>
        <v>1073000</v>
      </c>
      <c r="K41" s="54">
        <f>H41/D41*100</f>
        <v>21.46</v>
      </c>
      <c r="L41" s="53">
        <f t="shared" si="4"/>
        <v>-673000</v>
      </c>
      <c r="M41" s="62"/>
      <c r="N41" s="46"/>
      <c r="O41" s="46">
        <v>400000</v>
      </c>
      <c r="P41" s="46">
        <v>2600000</v>
      </c>
      <c r="Q41" s="46">
        <v>1000000</v>
      </c>
      <c r="R41" s="46">
        <v>1000000</v>
      </c>
      <c r="S41" s="46"/>
      <c r="T41" s="46"/>
      <c r="U41" s="46"/>
      <c r="V41" s="46"/>
      <c r="W41" s="46"/>
      <c r="X41" s="46"/>
      <c r="Y41" s="63">
        <f t="shared" si="8"/>
        <v>5000000</v>
      </c>
    </row>
    <row r="42" spans="1:25" ht="23.25" customHeight="1">
      <c r="A42" s="1"/>
      <c r="B42" s="21"/>
      <c r="C42" s="61" t="s">
        <v>75</v>
      </c>
      <c r="D42" s="33">
        <f t="shared" si="6"/>
        <v>185000</v>
      </c>
      <c r="E42" s="30"/>
      <c r="F42" s="33">
        <f t="shared" si="7"/>
        <v>185000</v>
      </c>
      <c r="G42" s="33">
        <v>185000</v>
      </c>
      <c r="H42" s="44"/>
      <c r="K42" s="52"/>
      <c r="L42" s="53">
        <f t="shared" si="4"/>
        <v>0</v>
      </c>
      <c r="M42" s="62"/>
      <c r="N42" s="46"/>
      <c r="O42" s="46"/>
      <c r="P42" s="46"/>
      <c r="Q42" s="46"/>
      <c r="R42" s="46"/>
      <c r="S42" s="46"/>
      <c r="T42" s="46"/>
      <c r="U42" s="46"/>
      <c r="V42" s="46">
        <v>50000</v>
      </c>
      <c r="W42" s="46">
        <v>135000</v>
      </c>
      <c r="X42" s="46"/>
      <c r="Y42" s="63">
        <f t="shared" si="8"/>
        <v>185000</v>
      </c>
    </row>
    <row r="43" spans="1:25" ht="42" customHeight="1">
      <c r="A43" s="1"/>
      <c r="B43" s="21"/>
      <c r="C43" s="61" t="s">
        <v>76</v>
      </c>
      <c r="D43" s="33">
        <f t="shared" si="6"/>
        <v>1750000</v>
      </c>
      <c r="E43" s="30"/>
      <c r="F43" s="33">
        <f t="shared" si="7"/>
        <v>1750000</v>
      </c>
      <c r="G43" s="33">
        <v>1750000</v>
      </c>
      <c r="H43" s="44"/>
      <c r="K43" s="52"/>
      <c r="L43" s="53">
        <f t="shared" si="4"/>
        <v>0</v>
      </c>
      <c r="M43" s="62"/>
      <c r="N43" s="46"/>
      <c r="O43" s="46"/>
      <c r="P43" s="46">
        <v>1200000</v>
      </c>
      <c r="Q43" s="46">
        <v>550000</v>
      </c>
      <c r="R43" s="46"/>
      <c r="S43" s="46"/>
      <c r="T43" s="46"/>
      <c r="U43" s="46"/>
      <c r="V43" s="46"/>
      <c r="W43" s="46"/>
      <c r="X43" s="46"/>
      <c r="Y43" s="63">
        <f t="shared" si="8"/>
        <v>1750000</v>
      </c>
    </row>
    <row r="44" spans="1:25" ht="24" customHeight="1">
      <c r="A44" s="1"/>
      <c r="B44" s="21"/>
      <c r="C44" s="45" t="s">
        <v>41</v>
      </c>
      <c r="D44" s="25">
        <f t="shared" si="6"/>
        <v>6700000</v>
      </c>
      <c r="E44" s="27"/>
      <c r="F44" s="25">
        <f t="shared" si="7"/>
        <v>6700000</v>
      </c>
      <c r="G44" s="46">
        <v>6700000</v>
      </c>
      <c r="H44" s="25">
        <f>3263175</f>
        <v>3263175</v>
      </c>
      <c r="K44" s="54">
        <f>H44/D44*100</f>
        <v>48.70410447761194</v>
      </c>
      <c r="L44" s="53">
        <f t="shared" si="4"/>
        <v>736825</v>
      </c>
      <c r="M44" s="64"/>
      <c r="N44" s="46"/>
      <c r="O44" s="46">
        <v>4000000</v>
      </c>
      <c r="P44" s="46">
        <v>2700000</v>
      </c>
      <c r="Q44" s="46"/>
      <c r="R44" s="46"/>
      <c r="S44" s="64"/>
      <c r="T44" s="64"/>
      <c r="U44" s="64"/>
      <c r="V44" s="64"/>
      <c r="W44" s="64"/>
      <c r="X44" s="64"/>
      <c r="Y44" s="63">
        <f t="shared" si="8"/>
        <v>6700000</v>
      </c>
    </row>
    <row r="45" spans="1:25" ht="22.5" customHeight="1">
      <c r="A45" s="1"/>
      <c r="B45" s="21"/>
      <c r="C45" s="45" t="s">
        <v>42</v>
      </c>
      <c r="D45" s="25">
        <f t="shared" si="6"/>
        <v>10000000</v>
      </c>
      <c r="E45" s="27"/>
      <c r="F45" s="25">
        <f t="shared" si="7"/>
        <v>10000000</v>
      </c>
      <c r="G45" s="46">
        <v>10000000</v>
      </c>
      <c r="H45" s="25">
        <f>43726</f>
        <v>43726</v>
      </c>
      <c r="K45" s="54">
        <f>H45/D45*100</f>
        <v>0.43726</v>
      </c>
      <c r="L45" s="53">
        <f t="shared" si="4"/>
        <v>456274</v>
      </c>
      <c r="M45" s="64"/>
      <c r="N45" s="46"/>
      <c r="O45" s="46">
        <v>500000</v>
      </c>
      <c r="P45" s="46">
        <v>4500000</v>
      </c>
      <c r="Q45" s="46">
        <v>3000000</v>
      </c>
      <c r="R45" s="46">
        <v>2000000</v>
      </c>
      <c r="S45" s="64"/>
      <c r="T45" s="64"/>
      <c r="U45" s="64"/>
      <c r="V45" s="64"/>
      <c r="W45" s="64"/>
      <c r="X45" s="64"/>
      <c r="Y45" s="63">
        <f t="shared" si="8"/>
        <v>10000000</v>
      </c>
    </row>
    <row r="46" spans="1:25" ht="22.5" customHeight="1">
      <c r="A46" s="1"/>
      <c r="B46" s="65"/>
      <c r="C46" s="61" t="s">
        <v>77</v>
      </c>
      <c r="D46" s="25">
        <f t="shared" si="6"/>
        <v>7000000</v>
      </c>
      <c r="E46" s="27"/>
      <c r="F46" s="25">
        <f t="shared" si="7"/>
        <v>7000000</v>
      </c>
      <c r="G46" s="46">
        <v>7000000</v>
      </c>
      <c r="H46" s="25"/>
      <c r="K46" s="54"/>
      <c r="L46" s="53">
        <f t="shared" si="4"/>
        <v>0</v>
      </c>
      <c r="M46" s="64"/>
      <c r="N46" s="64"/>
      <c r="O46" s="64"/>
      <c r="P46" s="64">
        <v>755868.99</v>
      </c>
      <c r="Q46" s="64">
        <f>1600000+2244131.01</f>
        <v>3844131.01</v>
      </c>
      <c r="R46" s="64">
        <f>1000000+1000000</f>
        <v>2000000</v>
      </c>
      <c r="S46" s="64">
        <v>400000</v>
      </c>
      <c r="T46" s="64"/>
      <c r="U46" s="64"/>
      <c r="V46" s="64"/>
      <c r="W46" s="64"/>
      <c r="X46" s="64"/>
      <c r="Y46" s="63">
        <f t="shared" si="8"/>
        <v>7000000</v>
      </c>
    </row>
    <row r="47" spans="1:25" ht="22.5" customHeight="1">
      <c r="A47" s="1"/>
      <c r="B47" s="65"/>
      <c r="C47" s="61" t="s">
        <v>78</v>
      </c>
      <c r="D47" s="25">
        <f t="shared" si="6"/>
        <v>400000</v>
      </c>
      <c r="E47" s="27"/>
      <c r="F47" s="25">
        <f t="shared" si="7"/>
        <v>400000</v>
      </c>
      <c r="G47" s="46">
        <v>400000</v>
      </c>
      <c r="H47" s="25"/>
      <c r="K47" s="54"/>
      <c r="L47" s="53">
        <f t="shared" si="4"/>
        <v>0</v>
      </c>
      <c r="M47" s="64"/>
      <c r="N47" s="64"/>
      <c r="O47" s="66"/>
      <c r="P47" s="66"/>
      <c r="Q47" s="66"/>
      <c r="R47" s="66"/>
      <c r="S47" s="66"/>
      <c r="T47" s="66">
        <v>100000</v>
      </c>
      <c r="U47" s="66">
        <v>300000</v>
      </c>
      <c r="V47" s="66"/>
      <c r="W47" s="66"/>
      <c r="X47" s="66"/>
      <c r="Y47" s="63">
        <f t="shared" si="8"/>
        <v>400000</v>
      </c>
    </row>
    <row r="48" spans="1:25" ht="22.5" customHeight="1">
      <c r="A48" s="1"/>
      <c r="B48" s="65"/>
      <c r="C48" s="61" t="s">
        <v>79</v>
      </c>
      <c r="D48" s="25">
        <f t="shared" si="6"/>
        <v>40000</v>
      </c>
      <c r="E48" s="27"/>
      <c r="F48" s="25">
        <f t="shared" si="7"/>
        <v>40000</v>
      </c>
      <c r="G48" s="46">
        <v>40000</v>
      </c>
      <c r="H48" s="25"/>
      <c r="K48" s="54"/>
      <c r="L48" s="53">
        <f t="shared" si="4"/>
        <v>0</v>
      </c>
      <c r="M48" s="64"/>
      <c r="N48" s="64"/>
      <c r="O48" s="66"/>
      <c r="P48" s="66"/>
      <c r="Q48" s="66"/>
      <c r="R48" s="66"/>
      <c r="S48" s="66"/>
      <c r="T48" s="66"/>
      <c r="U48" s="66"/>
      <c r="V48" s="66"/>
      <c r="W48" s="66"/>
      <c r="X48" s="66">
        <v>40000</v>
      </c>
      <c r="Y48" s="63">
        <f t="shared" si="8"/>
        <v>40000</v>
      </c>
    </row>
    <row r="49" spans="1:25" ht="22.5" customHeight="1">
      <c r="A49" s="1"/>
      <c r="B49" s="65"/>
      <c r="C49" s="67" t="s">
        <v>80</v>
      </c>
      <c r="D49" s="25">
        <f t="shared" si="6"/>
        <v>800000</v>
      </c>
      <c r="E49" s="27"/>
      <c r="F49" s="25">
        <f t="shared" si="7"/>
        <v>800000</v>
      </c>
      <c r="G49" s="46">
        <v>800000</v>
      </c>
      <c r="H49" s="25"/>
      <c r="K49" s="54"/>
      <c r="L49" s="53">
        <f t="shared" si="4"/>
        <v>0</v>
      </c>
      <c r="M49" s="64"/>
      <c r="N49" s="64"/>
      <c r="O49" s="66"/>
      <c r="P49" s="66"/>
      <c r="Q49" s="66"/>
      <c r="R49" s="66"/>
      <c r="S49" s="66"/>
      <c r="T49" s="66"/>
      <c r="U49" s="66">
        <v>400000</v>
      </c>
      <c r="V49" s="66"/>
      <c r="W49" s="66"/>
      <c r="X49" s="66">
        <v>400000</v>
      </c>
      <c r="Y49" s="63">
        <f t="shared" si="8"/>
        <v>800000</v>
      </c>
    </row>
    <row r="50" spans="1:25" s="16" customFormat="1" ht="24" customHeight="1">
      <c r="A50" s="74" t="s">
        <v>31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59"/>
      <c r="Y50" s="68"/>
    </row>
    <row r="51" spans="1:25" s="16" customFormat="1" ht="36" customHeight="1">
      <c r="A51" s="17">
        <v>2</v>
      </c>
      <c r="B51" s="18"/>
      <c r="C51" s="19" t="s">
        <v>17</v>
      </c>
      <c r="D51" s="20">
        <f>D52</f>
        <v>71839680</v>
      </c>
      <c r="E51" s="20"/>
      <c r="F51" s="20">
        <f>F52</f>
        <v>71839680</v>
      </c>
      <c r="G51" s="20">
        <f>G52</f>
        <v>71839680</v>
      </c>
      <c r="H51" s="20">
        <f>H52</f>
        <v>168000.5</v>
      </c>
      <c r="K51" s="69">
        <f>H51/D51*100</f>
        <v>0.23385474434184564</v>
      </c>
      <c r="L51" s="59"/>
      <c r="Y51" s="68"/>
    </row>
    <row r="52" spans="1:25" s="16" customFormat="1" ht="19.5" customHeight="1">
      <c r="A52" s="1"/>
      <c r="B52" s="29" t="s">
        <v>32</v>
      </c>
      <c r="C52" s="29" t="s">
        <v>32</v>
      </c>
      <c r="D52" s="30">
        <f>SUM(D53:D98)</f>
        <v>71839680</v>
      </c>
      <c r="E52" s="30"/>
      <c r="F52" s="30">
        <f>SUM(F53:F98)</f>
        <v>71839680</v>
      </c>
      <c r="G52" s="30">
        <f>SUM(G53:G98)</f>
        <v>71839680</v>
      </c>
      <c r="H52" s="30">
        <f>SUM(H53:H98)</f>
        <v>168000.5</v>
      </c>
      <c r="K52" s="57">
        <f>H52/D52*100</f>
        <v>0.23385474434184564</v>
      </c>
      <c r="L52" s="53">
        <f t="shared" si="4"/>
        <v>5831999.5</v>
      </c>
      <c r="M52" s="70">
        <f>SUM(M53:M98)</f>
        <v>0</v>
      </c>
      <c r="N52" s="70">
        <f aca="true" t="shared" si="9" ref="N52:Y52">SUM(N53:N98)</f>
        <v>2416000</v>
      </c>
      <c r="O52" s="70">
        <f>SUM(O53:O98)</f>
        <v>3584000</v>
      </c>
      <c r="P52" s="70">
        <f t="shared" si="9"/>
        <v>640500</v>
      </c>
      <c r="Q52" s="70">
        <f t="shared" si="9"/>
        <v>2234800</v>
      </c>
      <c r="R52" s="70">
        <f t="shared" si="9"/>
        <v>15917030</v>
      </c>
      <c r="S52" s="70">
        <f t="shared" si="9"/>
        <v>9854000</v>
      </c>
      <c r="T52" s="70">
        <f t="shared" si="9"/>
        <v>9785470.26</v>
      </c>
      <c r="U52" s="70">
        <f t="shared" si="9"/>
        <v>4176388.6100000003</v>
      </c>
      <c r="V52" s="70">
        <f t="shared" si="9"/>
        <v>8989445.91</v>
      </c>
      <c r="W52" s="70">
        <f t="shared" si="9"/>
        <v>10742659.76</v>
      </c>
      <c r="X52" s="70">
        <f t="shared" si="9"/>
        <v>3499385.46</v>
      </c>
      <c r="Y52" s="70">
        <f t="shared" si="9"/>
        <v>71839680</v>
      </c>
    </row>
    <row r="53" spans="1:25" s="16" customFormat="1" ht="40.5" customHeight="1">
      <c r="A53" s="1"/>
      <c r="B53" s="29"/>
      <c r="C53" s="31" t="s">
        <v>33</v>
      </c>
      <c r="D53" s="32">
        <f aca="true" t="shared" si="10" ref="D53:D87">F53</f>
        <v>768000</v>
      </c>
      <c r="E53" s="30"/>
      <c r="F53" s="25">
        <f aca="true" t="shared" si="11" ref="F53:F98">G53</f>
        <v>768000</v>
      </c>
      <c r="G53" s="33">
        <f>192000+576000</f>
        <v>768000</v>
      </c>
      <c r="H53" s="25">
        <f>81260+1427.14+45242</f>
        <v>127929.14</v>
      </c>
      <c r="K53" s="54">
        <f>H53/D53*100</f>
        <v>16.657440104166664</v>
      </c>
      <c r="L53" s="53">
        <f t="shared" si="4"/>
        <v>64070.86</v>
      </c>
      <c r="M53" s="64"/>
      <c r="N53" s="64">
        <v>92000</v>
      </c>
      <c r="O53" s="64">
        <v>100000</v>
      </c>
      <c r="P53" s="64">
        <v>300000</v>
      </c>
      <c r="Q53" s="64">
        <v>276000</v>
      </c>
      <c r="R53" s="64"/>
      <c r="S53" s="64"/>
      <c r="T53" s="64"/>
      <c r="U53" s="64"/>
      <c r="V53" s="64"/>
      <c r="W53" s="64"/>
      <c r="X53" s="64"/>
      <c r="Y53" s="64">
        <f>SUM(M53:X53)</f>
        <v>768000</v>
      </c>
    </row>
    <row r="54" spans="1:25" s="16" customFormat="1" ht="23.25" customHeight="1">
      <c r="A54" s="1"/>
      <c r="B54" s="29"/>
      <c r="C54" s="71" t="s">
        <v>81</v>
      </c>
      <c r="D54" s="32">
        <f t="shared" si="10"/>
        <v>164000</v>
      </c>
      <c r="E54" s="30"/>
      <c r="F54" s="25">
        <f t="shared" si="11"/>
        <v>164000</v>
      </c>
      <c r="G54" s="32">
        <v>164000</v>
      </c>
      <c r="H54" s="25"/>
      <c r="K54" s="54"/>
      <c r="L54" s="53">
        <f t="shared" si="4"/>
        <v>0</v>
      </c>
      <c r="M54" s="64"/>
      <c r="N54" s="64"/>
      <c r="O54" s="64"/>
      <c r="P54" s="64">
        <v>50000</v>
      </c>
      <c r="Q54" s="64">
        <v>50000</v>
      </c>
      <c r="R54" s="64">
        <v>64000</v>
      </c>
      <c r="S54" s="64"/>
      <c r="T54" s="64"/>
      <c r="U54" s="64"/>
      <c r="V54" s="64"/>
      <c r="W54" s="64"/>
      <c r="X54" s="64"/>
      <c r="Y54" s="64">
        <f aca="true" t="shared" si="12" ref="Y54:Y98">SUM(M54:X54)</f>
        <v>164000</v>
      </c>
    </row>
    <row r="55" spans="1:25" s="16" customFormat="1" ht="26.25" customHeight="1">
      <c r="A55" s="1"/>
      <c r="B55" s="29"/>
      <c r="C55" s="71" t="s">
        <v>82</v>
      </c>
      <c r="D55" s="32">
        <f t="shared" si="10"/>
        <v>109800</v>
      </c>
      <c r="E55" s="30"/>
      <c r="F55" s="25">
        <f t="shared" si="11"/>
        <v>109800</v>
      </c>
      <c r="G55" s="32">
        <v>109800</v>
      </c>
      <c r="H55" s="25"/>
      <c r="K55" s="54"/>
      <c r="L55" s="53">
        <f t="shared" si="4"/>
        <v>0</v>
      </c>
      <c r="M55" s="64"/>
      <c r="N55" s="64"/>
      <c r="O55" s="64"/>
      <c r="P55" s="64"/>
      <c r="Q55" s="64">
        <v>109800</v>
      </c>
      <c r="R55" s="64"/>
      <c r="S55" s="64"/>
      <c r="T55" s="64"/>
      <c r="U55" s="64"/>
      <c r="V55" s="64"/>
      <c r="W55" s="64"/>
      <c r="X55" s="64"/>
      <c r="Y55" s="64">
        <f t="shared" si="12"/>
        <v>109800</v>
      </c>
    </row>
    <row r="56" spans="1:25" s="16" customFormat="1" ht="40.5" customHeight="1">
      <c r="A56" s="1"/>
      <c r="B56" s="29"/>
      <c r="C56" s="71" t="s">
        <v>83</v>
      </c>
      <c r="D56" s="32">
        <f t="shared" si="10"/>
        <v>25280</v>
      </c>
      <c r="E56" s="30"/>
      <c r="F56" s="25">
        <f t="shared" si="11"/>
        <v>25280</v>
      </c>
      <c r="G56" s="32">
        <v>25280</v>
      </c>
      <c r="H56" s="25"/>
      <c r="K56" s="54"/>
      <c r="L56" s="53">
        <f t="shared" si="4"/>
        <v>0</v>
      </c>
      <c r="M56" s="64"/>
      <c r="N56" s="64"/>
      <c r="O56" s="64"/>
      <c r="P56" s="64"/>
      <c r="Q56" s="64"/>
      <c r="R56" s="64">
        <v>25280</v>
      </c>
      <c r="S56" s="64"/>
      <c r="T56" s="64"/>
      <c r="U56" s="64"/>
      <c r="V56" s="64"/>
      <c r="W56" s="64"/>
      <c r="X56" s="64"/>
      <c r="Y56" s="64">
        <f t="shared" si="12"/>
        <v>25280</v>
      </c>
    </row>
    <row r="57" spans="1:25" s="16" customFormat="1" ht="24.75" customHeight="1">
      <c r="A57" s="1"/>
      <c r="B57" s="29"/>
      <c r="C57" s="71" t="s">
        <v>84</v>
      </c>
      <c r="D57" s="32">
        <f t="shared" si="10"/>
        <v>600000</v>
      </c>
      <c r="E57" s="30"/>
      <c r="F57" s="25">
        <f t="shared" si="11"/>
        <v>600000</v>
      </c>
      <c r="G57" s="32">
        <v>600000</v>
      </c>
      <c r="H57" s="25"/>
      <c r="K57" s="54"/>
      <c r="L57" s="53">
        <f t="shared" si="4"/>
        <v>0</v>
      </c>
      <c r="M57" s="64"/>
      <c r="N57" s="64"/>
      <c r="O57" s="64"/>
      <c r="P57" s="64"/>
      <c r="Q57" s="66">
        <v>30000</v>
      </c>
      <c r="R57" s="66"/>
      <c r="S57" s="66"/>
      <c r="T57" s="66">
        <v>570000</v>
      </c>
      <c r="U57" s="66"/>
      <c r="V57" s="66"/>
      <c r="W57" s="66"/>
      <c r="X57" s="66"/>
      <c r="Y57" s="64">
        <f t="shared" si="12"/>
        <v>600000</v>
      </c>
    </row>
    <row r="58" spans="1:25" s="16" customFormat="1" ht="24.75" customHeight="1">
      <c r="A58" s="1"/>
      <c r="B58" s="29"/>
      <c r="C58" s="71" t="s">
        <v>85</v>
      </c>
      <c r="D58" s="32">
        <f t="shared" si="10"/>
        <v>850000</v>
      </c>
      <c r="E58" s="30"/>
      <c r="F58" s="25">
        <f t="shared" si="11"/>
        <v>850000</v>
      </c>
      <c r="G58" s="32">
        <v>850000</v>
      </c>
      <c r="H58" s="25"/>
      <c r="K58" s="54"/>
      <c r="L58" s="53">
        <f t="shared" si="4"/>
        <v>0</v>
      </c>
      <c r="M58" s="64"/>
      <c r="N58" s="64"/>
      <c r="O58" s="64"/>
      <c r="P58" s="64"/>
      <c r="Q58" s="66">
        <v>30000</v>
      </c>
      <c r="R58" s="66"/>
      <c r="S58" s="66"/>
      <c r="T58" s="66">
        <v>290103.26</v>
      </c>
      <c r="U58" s="66">
        <v>15002.85</v>
      </c>
      <c r="V58" s="66">
        <v>514893.89</v>
      </c>
      <c r="W58" s="66"/>
      <c r="X58" s="66"/>
      <c r="Y58" s="64">
        <f t="shared" si="12"/>
        <v>850000</v>
      </c>
    </row>
    <row r="59" spans="1:25" s="16" customFormat="1" ht="22.5" customHeight="1">
      <c r="A59" s="1"/>
      <c r="B59" s="29"/>
      <c r="C59" s="71" t="s">
        <v>86</v>
      </c>
      <c r="D59" s="32">
        <f t="shared" si="10"/>
        <v>750000</v>
      </c>
      <c r="E59" s="30"/>
      <c r="F59" s="25">
        <f t="shared" si="11"/>
        <v>750000</v>
      </c>
      <c r="G59" s="32">
        <v>750000</v>
      </c>
      <c r="H59" s="25"/>
      <c r="K59" s="54"/>
      <c r="L59" s="53">
        <f t="shared" si="4"/>
        <v>0</v>
      </c>
      <c r="M59" s="64"/>
      <c r="N59" s="64"/>
      <c r="O59" s="64"/>
      <c r="P59" s="64"/>
      <c r="Q59" s="66">
        <v>30000</v>
      </c>
      <c r="R59" s="66"/>
      <c r="S59" s="66"/>
      <c r="T59" s="66"/>
      <c r="U59" s="66"/>
      <c r="V59" s="66">
        <v>494552.02</v>
      </c>
      <c r="W59" s="66">
        <v>225447.98</v>
      </c>
      <c r="X59" s="66"/>
      <c r="Y59" s="64">
        <f t="shared" si="12"/>
        <v>750000</v>
      </c>
    </row>
    <row r="60" spans="1:25" s="16" customFormat="1" ht="40.5" customHeight="1">
      <c r="A60" s="1"/>
      <c r="B60" s="29"/>
      <c r="C60" s="71" t="s">
        <v>87</v>
      </c>
      <c r="D60" s="32">
        <f t="shared" si="10"/>
        <v>850000</v>
      </c>
      <c r="E60" s="30"/>
      <c r="F60" s="25">
        <f t="shared" si="11"/>
        <v>850000</v>
      </c>
      <c r="G60" s="32">
        <v>850000</v>
      </c>
      <c r="H60" s="25"/>
      <c r="K60" s="54"/>
      <c r="L60" s="53">
        <f t="shared" si="4"/>
        <v>0</v>
      </c>
      <c r="M60" s="64"/>
      <c r="N60" s="64"/>
      <c r="O60" s="64"/>
      <c r="P60" s="64"/>
      <c r="Q60" s="66">
        <v>30000</v>
      </c>
      <c r="R60" s="66"/>
      <c r="S60" s="66"/>
      <c r="T60" s="66">
        <v>300000</v>
      </c>
      <c r="U60" s="66"/>
      <c r="V60" s="66">
        <v>520000</v>
      </c>
      <c r="W60" s="66"/>
      <c r="X60" s="66"/>
      <c r="Y60" s="64">
        <f t="shared" si="12"/>
        <v>850000</v>
      </c>
    </row>
    <row r="61" spans="1:25" s="16" customFormat="1" ht="40.5" customHeight="1">
      <c r="A61" s="1"/>
      <c r="B61" s="29"/>
      <c r="C61" s="71" t="s">
        <v>88</v>
      </c>
      <c r="D61" s="32">
        <f t="shared" si="10"/>
        <v>550000</v>
      </c>
      <c r="E61" s="30"/>
      <c r="F61" s="25">
        <f t="shared" si="11"/>
        <v>550000</v>
      </c>
      <c r="G61" s="32">
        <v>550000</v>
      </c>
      <c r="H61" s="25"/>
      <c r="K61" s="54"/>
      <c r="L61" s="53">
        <f t="shared" si="4"/>
        <v>0</v>
      </c>
      <c r="M61" s="64"/>
      <c r="N61" s="64"/>
      <c r="O61" s="64"/>
      <c r="P61" s="64"/>
      <c r="Q61" s="66">
        <v>30000</v>
      </c>
      <c r="R61" s="66"/>
      <c r="S61" s="66"/>
      <c r="T61" s="66"/>
      <c r="U61" s="66">
        <v>520000</v>
      </c>
      <c r="V61" s="66"/>
      <c r="W61" s="66"/>
      <c r="X61" s="66"/>
      <c r="Y61" s="64">
        <f t="shared" si="12"/>
        <v>550000</v>
      </c>
    </row>
    <row r="62" spans="1:25" s="16" customFormat="1" ht="40.5" customHeight="1">
      <c r="A62" s="1"/>
      <c r="B62" s="29"/>
      <c r="C62" s="71" t="s">
        <v>89</v>
      </c>
      <c r="D62" s="32">
        <f t="shared" si="10"/>
        <v>120000</v>
      </c>
      <c r="E62" s="30"/>
      <c r="F62" s="25">
        <f t="shared" si="11"/>
        <v>120000</v>
      </c>
      <c r="G62" s="32">
        <v>120000</v>
      </c>
      <c r="H62" s="25"/>
      <c r="K62" s="54"/>
      <c r="L62" s="53">
        <f t="shared" si="4"/>
        <v>0</v>
      </c>
      <c r="M62" s="64"/>
      <c r="N62" s="64"/>
      <c r="O62" s="64"/>
      <c r="P62" s="64">
        <v>50000</v>
      </c>
      <c r="Q62" s="64">
        <v>70000</v>
      </c>
      <c r="R62" s="64"/>
      <c r="S62" s="64"/>
      <c r="T62" s="64"/>
      <c r="U62" s="64"/>
      <c r="V62" s="64"/>
      <c r="W62" s="64"/>
      <c r="X62" s="64"/>
      <c r="Y62" s="64">
        <f t="shared" si="12"/>
        <v>120000</v>
      </c>
    </row>
    <row r="63" spans="1:25" s="16" customFormat="1" ht="24.75" customHeight="1">
      <c r="A63" s="1"/>
      <c r="B63" s="29"/>
      <c r="C63" s="71" t="s">
        <v>90</v>
      </c>
      <c r="D63" s="32">
        <f t="shared" si="10"/>
        <v>128800</v>
      </c>
      <c r="E63" s="30"/>
      <c r="F63" s="25">
        <f t="shared" si="11"/>
        <v>128800</v>
      </c>
      <c r="G63" s="32">
        <v>128800</v>
      </c>
      <c r="H63" s="25"/>
      <c r="K63" s="54"/>
      <c r="L63" s="53">
        <f t="shared" si="4"/>
        <v>0</v>
      </c>
      <c r="M63" s="64"/>
      <c r="N63" s="64"/>
      <c r="O63" s="64"/>
      <c r="P63" s="64"/>
      <c r="Q63" s="64"/>
      <c r="R63" s="64"/>
      <c r="S63" s="64"/>
      <c r="T63" s="64">
        <v>64400</v>
      </c>
      <c r="U63" s="64">
        <v>64400</v>
      </c>
      <c r="V63" s="64"/>
      <c r="W63" s="64"/>
      <c r="X63" s="64"/>
      <c r="Y63" s="64">
        <f t="shared" si="12"/>
        <v>128800</v>
      </c>
    </row>
    <row r="64" spans="1:25" s="16" customFormat="1" ht="23.25" customHeight="1">
      <c r="A64" s="1"/>
      <c r="B64" s="29"/>
      <c r="C64" s="71" t="s">
        <v>91</v>
      </c>
      <c r="D64" s="32">
        <f t="shared" si="10"/>
        <v>5000</v>
      </c>
      <c r="E64" s="30"/>
      <c r="F64" s="25">
        <f t="shared" si="11"/>
        <v>5000</v>
      </c>
      <c r="G64" s="32">
        <v>5000</v>
      </c>
      <c r="H64" s="25"/>
      <c r="K64" s="54"/>
      <c r="L64" s="53">
        <f t="shared" si="4"/>
        <v>0</v>
      </c>
      <c r="M64" s="64"/>
      <c r="N64" s="64"/>
      <c r="O64" s="64"/>
      <c r="P64" s="64">
        <v>5000</v>
      </c>
      <c r="Q64" s="64"/>
      <c r="R64" s="64"/>
      <c r="S64" s="64"/>
      <c r="T64" s="64"/>
      <c r="U64" s="64"/>
      <c r="V64" s="64"/>
      <c r="W64" s="64"/>
      <c r="X64" s="64"/>
      <c r="Y64" s="64">
        <f t="shared" si="12"/>
        <v>5000</v>
      </c>
    </row>
    <row r="65" spans="1:25" s="16" customFormat="1" ht="24.75" customHeight="1">
      <c r="A65" s="1"/>
      <c r="B65" s="29"/>
      <c r="C65" s="67" t="s">
        <v>92</v>
      </c>
      <c r="D65" s="32">
        <f t="shared" si="10"/>
        <v>120000</v>
      </c>
      <c r="E65" s="30"/>
      <c r="F65" s="25">
        <f t="shared" si="11"/>
        <v>120000</v>
      </c>
      <c r="G65" s="33">
        <v>120000</v>
      </c>
      <c r="H65" s="25"/>
      <c r="K65" s="54"/>
      <c r="L65" s="53">
        <f t="shared" si="4"/>
        <v>0</v>
      </c>
      <c r="M65" s="64"/>
      <c r="N65" s="64"/>
      <c r="O65" s="64"/>
      <c r="P65" s="64"/>
      <c r="Q65" s="64">
        <v>120000</v>
      </c>
      <c r="R65" s="64"/>
      <c r="S65" s="64"/>
      <c r="T65" s="64"/>
      <c r="U65" s="64"/>
      <c r="V65" s="64"/>
      <c r="W65" s="64"/>
      <c r="X65" s="64"/>
      <c r="Y65" s="64">
        <f t="shared" si="12"/>
        <v>120000</v>
      </c>
    </row>
    <row r="66" spans="1:25" s="16" customFormat="1" ht="24.75" customHeight="1">
      <c r="A66" s="1"/>
      <c r="B66" s="29"/>
      <c r="C66" s="71" t="s">
        <v>93</v>
      </c>
      <c r="D66" s="32">
        <f t="shared" si="10"/>
        <v>500</v>
      </c>
      <c r="E66" s="30"/>
      <c r="F66" s="25">
        <f t="shared" si="11"/>
        <v>500</v>
      </c>
      <c r="G66" s="33">
        <v>500</v>
      </c>
      <c r="H66" s="25"/>
      <c r="K66" s="54"/>
      <c r="L66" s="53">
        <f t="shared" si="4"/>
        <v>0</v>
      </c>
      <c r="M66" s="64"/>
      <c r="N66" s="64"/>
      <c r="O66" s="64"/>
      <c r="P66" s="64">
        <v>500</v>
      </c>
      <c r="Q66" s="64"/>
      <c r="R66" s="64"/>
      <c r="S66" s="64"/>
      <c r="T66" s="64"/>
      <c r="U66" s="64"/>
      <c r="V66" s="64"/>
      <c r="W66" s="64"/>
      <c r="X66" s="64"/>
      <c r="Y66" s="64">
        <f t="shared" si="12"/>
        <v>500</v>
      </c>
    </row>
    <row r="67" spans="1:25" s="16" customFormat="1" ht="24.75" customHeight="1">
      <c r="A67" s="1"/>
      <c r="B67" s="29"/>
      <c r="C67" s="67" t="s">
        <v>94</v>
      </c>
      <c r="D67" s="32">
        <f t="shared" si="10"/>
        <v>89760</v>
      </c>
      <c r="E67" s="30"/>
      <c r="F67" s="25">
        <f t="shared" si="11"/>
        <v>89760</v>
      </c>
      <c r="G67" s="33">
        <v>89760</v>
      </c>
      <c r="H67" s="25"/>
      <c r="K67" s="54"/>
      <c r="L67" s="53">
        <f t="shared" si="4"/>
        <v>0</v>
      </c>
      <c r="M67" s="64"/>
      <c r="N67" s="64"/>
      <c r="O67" s="64"/>
      <c r="P67" s="64"/>
      <c r="Q67" s="64"/>
      <c r="R67" s="64"/>
      <c r="S67" s="64"/>
      <c r="T67" s="64"/>
      <c r="U67" s="64">
        <v>89760</v>
      </c>
      <c r="V67" s="64"/>
      <c r="W67" s="64"/>
      <c r="X67" s="64"/>
      <c r="Y67" s="64">
        <f t="shared" si="12"/>
        <v>89760</v>
      </c>
    </row>
    <row r="68" spans="1:25" s="16" customFormat="1" ht="24.75" customHeight="1">
      <c r="A68" s="1"/>
      <c r="B68" s="29"/>
      <c r="C68" s="67" t="s">
        <v>95</v>
      </c>
      <c r="D68" s="32">
        <f t="shared" si="10"/>
        <v>50000</v>
      </c>
      <c r="E68" s="30"/>
      <c r="F68" s="25">
        <f t="shared" si="11"/>
        <v>50000</v>
      </c>
      <c r="G68" s="33">
        <v>50000</v>
      </c>
      <c r="H68" s="25"/>
      <c r="K68" s="54"/>
      <c r="L68" s="53">
        <f t="shared" si="4"/>
        <v>0</v>
      </c>
      <c r="M68" s="64"/>
      <c r="N68" s="64"/>
      <c r="O68" s="64"/>
      <c r="P68" s="64"/>
      <c r="Q68" s="64"/>
      <c r="R68" s="64">
        <v>50000</v>
      </c>
      <c r="S68" s="64"/>
      <c r="T68" s="64"/>
      <c r="U68" s="64"/>
      <c r="V68" s="64"/>
      <c r="W68" s="64"/>
      <c r="X68" s="64"/>
      <c r="Y68" s="64">
        <f t="shared" si="12"/>
        <v>50000</v>
      </c>
    </row>
    <row r="69" spans="1:25" s="16" customFormat="1" ht="24.75" customHeight="1">
      <c r="A69" s="1"/>
      <c r="B69" s="29"/>
      <c r="C69" s="67" t="s">
        <v>96</v>
      </c>
      <c r="D69" s="32">
        <f t="shared" si="10"/>
        <v>200000</v>
      </c>
      <c r="E69" s="30"/>
      <c r="F69" s="25">
        <f t="shared" si="11"/>
        <v>200000</v>
      </c>
      <c r="G69" s="33">
        <v>200000</v>
      </c>
      <c r="H69" s="25"/>
      <c r="K69" s="54"/>
      <c r="L69" s="53">
        <f t="shared" si="4"/>
        <v>0</v>
      </c>
      <c r="M69" s="64"/>
      <c r="N69" s="64"/>
      <c r="O69" s="64"/>
      <c r="P69" s="64"/>
      <c r="Q69" s="64"/>
      <c r="R69" s="64"/>
      <c r="S69" s="64">
        <v>65000</v>
      </c>
      <c r="T69" s="64">
        <v>65000</v>
      </c>
      <c r="U69" s="64">
        <v>70000</v>
      </c>
      <c r="V69" s="64"/>
      <c r="W69" s="64"/>
      <c r="X69" s="64"/>
      <c r="Y69" s="64">
        <f t="shared" si="12"/>
        <v>200000</v>
      </c>
    </row>
    <row r="70" spans="1:25" s="16" customFormat="1" ht="24.75" customHeight="1">
      <c r="A70" s="1"/>
      <c r="B70" s="29"/>
      <c r="C70" s="67" t="s">
        <v>97</v>
      </c>
      <c r="D70" s="32">
        <f t="shared" si="10"/>
        <v>200000</v>
      </c>
      <c r="E70" s="30"/>
      <c r="F70" s="25">
        <f t="shared" si="11"/>
        <v>200000</v>
      </c>
      <c r="G70" s="33">
        <v>200000</v>
      </c>
      <c r="H70" s="25"/>
      <c r="K70" s="54"/>
      <c r="L70" s="53">
        <f t="shared" si="4"/>
        <v>0</v>
      </c>
      <c r="M70" s="64"/>
      <c r="N70" s="64"/>
      <c r="O70" s="64"/>
      <c r="P70" s="64">
        <v>60000</v>
      </c>
      <c r="Q70" s="64"/>
      <c r="R70" s="64">
        <v>140000</v>
      </c>
      <c r="S70" s="64"/>
      <c r="T70" s="64"/>
      <c r="U70" s="64"/>
      <c r="V70" s="64"/>
      <c r="W70" s="64"/>
      <c r="X70" s="64"/>
      <c r="Y70" s="64">
        <f t="shared" si="12"/>
        <v>200000</v>
      </c>
    </row>
    <row r="71" spans="1:25" s="16" customFormat="1" ht="24.75" customHeight="1">
      <c r="A71" s="1"/>
      <c r="B71" s="29"/>
      <c r="C71" s="67" t="s">
        <v>98</v>
      </c>
      <c r="D71" s="32">
        <f t="shared" si="10"/>
        <v>300000</v>
      </c>
      <c r="E71" s="30"/>
      <c r="F71" s="25">
        <f t="shared" si="11"/>
        <v>300000</v>
      </c>
      <c r="G71" s="33">
        <v>300000</v>
      </c>
      <c r="H71" s="25"/>
      <c r="K71" s="54"/>
      <c r="L71" s="53">
        <f t="shared" si="4"/>
        <v>100000</v>
      </c>
      <c r="M71" s="64"/>
      <c r="N71" s="64"/>
      <c r="O71" s="64">
        <v>100000</v>
      </c>
      <c r="P71" s="64"/>
      <c r="Q71" s="64">
        <v>200000</v>
      </c>
      <c r="R71" s="64"/>
      <c r="S71" s="64"/>
      <c r="T71" s="64"/>
      <c r="U71" s="64"/>
      <c r="V71" s="64"/>
      <c r="W71" s="64"/>
      <c r="X71" s="64"/>
      <c r="Y71" s="64">
        <f t="shared" si="12"/>
        <v>300000</v>
      </c>
    </row>
    <row r="72" spans="1:25" s="16" customFormat="1" ht="24.75" customHeight="1">
      <c r="A72" s="1"/>
      <c r="B72" s="29"/>
      <c r="C72" s="72" t="s">
        <v>99</v>
      </c>
      <c r="D72" s="32">
        <f t="shared" si="10"/>
        <v>350000</v>
      </c>
      <c r="E72" s="30"/>
      <c r="F72" s="25">
        <f t="shared" si="11"/>
        <v>350000</v>
      </c>
      <c r="G72" s="33">
        <v>350000</v>
      </c>
      <c r="H72" s="25"/>
      <c r="K72" s="54"/>
      <c r="L72" s="53">
        <f t="shared" si="4"/>
        <v>215000</v>
      </c>
      <c r="M72" s="64"/>
      <c r="N72" s="64"/>
      <c r="O72" s="64">
        <v>215000</v>
      </c>
      <c r="P72" s="64"/>
      <c r="Q72" s="64"/>
      <c r="R72" s="64"/>
      <c r="S72" s="64"/>
      <c r="T72" s="64">
        <v>135000</v>
      </c>
      <c r="U72" s="64"/>
      <c r="V72" s="64"/>
      <c r="W72" s="64"/>
      <c r="X72" s="64"/>
      <c r="Y72" s="64">
        <f t="shared" si="12"/>
        <v>350000</v>
      </c>
    </row>
    <row r="73" spans="1:25" s="16" customFormat="1" ht="24.75" customHeight="1">
      <c r="A73" s="1"/>
      <c r="B73" s="29"/>
      <c r="C73" s="71" t="s">
        <v>100</v>
      </c>
      <c r="D73" s="32">
        <f t="shared" si="10"/>
        <v>200000</v>
      </c>
      <c r="E73" s="30"/>
      <c r="F73" s="25">
        <f t="shared" si="11"/>
        <v>200000</v>
      </c>
      <c r="G73" s="33">
        <v>200000</v>
      </c>
      <c r="H73" s="25"/>
      <c r="K73" s="54"/>
      <c r="L73" s="53">
        <f t="shared" si="4"/>
        <v>60000</v>
      </c>
      <c r="M73" s="64"/>
      <c r="N73" s="64"/>
      <c r="O73" s="64">
        <v>60000</v>
      </c>
      <c r="P73" s="64"/>
      <c r="Q73" s="64"/>
      <c r="R73" s="64"/>
      <c r="S73" s="64"/>
      <c r="T73" s="64">
        <v>21967</v>
      </c>
      <c r="U73" s="64">
        <v>40000</v>
      </c>
      <c r="V73" s="64"/>
      <c r="W73" s="64"/>
      <c r="X73" s="64">
        <v>78033</v>
      </c>
      <c r="Y73" s="64">
        <f t="shared" si="12"/>
        <v>200000</v>
      </c>
    </row>
    <row r="74" spans="1:25" s="16" customFormat="1" ht="24.75" customHeight="1">
      <c r="A74" s="1"/>
      <c r="B74" s="29"/>
      <c r="C74" s="73" t="s">
        <v>101</v>
      </c>
      <c r="D74" s="32">
        <f t="shared" si="10"/>
        <v>250000</v>
      </c>
      <c r="E74" s="30"/>
      <c r="F74" s="25">
        <f t="shared" si="11"/>
        <v>250000</v>
      </c>
      <c r="G74" s="33">
        <v>250000</v>
      </c>
      <c r="H74" s="25"/>
      <c r="K74" s="54"/>
      <c r="L74" s="53">
        <f t="shared" si="4"/>
        <v>0</v>
      </c>
      <c r="M74" s="64"/>
      <c r="N74" s="64"/>
      <c r="O74" s="64"/>
      <c r="P74" s="64"/>
      <c r="Q74" s="64"/>
      <c r="R74" s="64"/>
      <c r="S74" s="64"/>
      <c r="T74" s="64"/>
      <c r="U74" s="64">
        <v>125000</v>
      </c>
      <c r="V74" s="64">
        <v>125000</v>
      </c>
      <c r="W74" s="64"/>
      <c r="X74" s="64"/>
      <c r="Y74" s="64">
        <f t="shared" si="12"/>
        <v>250000</v>
      </c>
    </row>
    <row r="75" spans="1:25" s="16" customFormat="1" ht="24.75" customHeight="1">
      <c r="A75" s="1"/>
      <c r="B75" s="29"/>
      <c r="C75" s="71" t="s">
        <v>102</v>
      </c>
      <c r="D75" s="32">
        <f t="shared" si="10"/>
        <v>260000</v>
      </c>
      <c r="E75" s="30"/>
      <c r="F75" s="25">
        <f t="shared" si="11"/>
        <v>260000</v>
      </c>
      <c r="G75" s="33">
        <v>260000</v>
      </c>
      <c r="H75" s="25"/>
      <c r="K75" s="54"/>
      <c r="L75" s="53">
        <f t="shared" si="4"/>
        <v>0</v>
      </c>
      <c r="M75" s="64"/>
      <c r="N75" s="64"/>
      <c r="O75" s="64"/>
      <c r="P75" s="64"/>
      <c r="Q75" s="64"/>
      <c r="R75" s="64"/>
      <c r="S75" s="64"/>
      <c r="T75" s="64"/>
      <c r="U75" s="64"/>
      <c r="V75" s="64">
        <v>135000</v>
      </c>
      <c r="W75" s="64">
        <v>125000</v>
      </c>
      <c r="X75" s="64"/>
      <c r="Y75" s="64">
        <f t="shared" si="12"/>
        <v>260000</v>
      </c>
    </row>
    <row r="76" spans="1:25" s="16" customFormat="1" ht="24.75" customHeight="1">
      <c r="A76" s="1"/>
      <c r="B76" s="29"/>
      <c r="C76" s="71" t="s">
        <v>103</v>
      </c>
      <c r="D76" s="32">
        <f t="shared" si="10"/>
        <v>150000</v>
      </c>
      <c r="E76" s="30"/>
      <c r="F76" s="25">
        <f t="shared" si="11"/>
        <v>150000</v>
      </c>
      <c r="G76" s="33">
        <v>150000</v>
      </c>
      <c r="H76" s="25"/>
      <c r="K76" s="54"/>
      <c r="L76" s="53">
        <f t="shared" si="4"/>
        <v>0</v>
      </c>
      <c r="M76" s="64"/>
      <c r="N76" s="64"/>
      <c r="O76" s="64"/>
      <c r="P76" s="64"/>
      <c r="Q76" s="64"/>
      <c r="R76" s="64"/>
      <c r="S76" s="64"/>
      <c r="T76" s="64"/>
      <c r="U76" s="64"/>
      <c r="V76" s="64">
        <v>150000</v>
      </c>
      <c r="W76" s="64"/>
      <c r="X76" s="64"/>
      <c r="Y76" s="64">
        <f t="shared" si="12"/>
        <v>150000</v>
      </c>
    </row>
    <row r="77" spans="1:25" s="16" customFormat="1" ht="24.75" customHeight="1">
      <c r="A77" s="1"/>
      <c r="B77" s="29"/>
      <c r="C77" s="67" t="s">
        <v>104</v>
      </c>
      <c r="D77" s="32">
        <f t="shared" si="10"/>
        <v>12500000</v>
      </c>
      <c r="E77" s="30"/>
      <c r="F77" s="25">
        <f t="shared" si="11"/>
        <v>12500000</v>
      </c>
      <c r="G77" s="33">
        <v>12500000</v>
      </c>
      <c r="H77" s="25"/>
      <c r="K77" s="54"/>
      <c r="L77" s="53">
        <f t="shared" si="4"/>
        <v>125000</v>
      </c>
      <c r="M77" s="64"/>
      <c r="N77" s="64"/>
      <c r="O77" s="64">
        <v>125000</v>
      </c>
      <c r="P77" s="64"/>
      <c r="Q77" s="64"/>
      <c r="R77" s="64"/>
      <c r="S77" s="64">
        <v>6000000</v>
      </c>
      <c r="T77" s="64"/>
      <c r="U77" s="64"/>
      <c r="V77" s="64">
        <v>2000000</v>
      </c>
      <c r="W77" s="64">
        <v>4375000</v>
      </c>
      <c r="X77" s="64"/>
      <c r="Y77" s="64">
        <f t="shared" si="12"/>
        <v>12500000</v>
      </c>
    </row>
    <row r="78" spans="1:25" s="16" customFormat="1" ht="21.75" customHeight="1">
      <c r="A78" s="1"/>
      <c r="B78" s="29"/>
      <c r="C78" s="67" t="s">
        <v>105</v>
      </c>
      <c r="D78" s="32">
        <f t="shared" si="10"/>
        <v>3043000</v>
      </c>
      <c r="E78" s="30"/>
      <c r="F78" s="25">
        <f t="shared" si="11"/>
        <v>3043000</v>
      </c>
      <c r="G78" s="33">
        <v>3043000</v>
      </c>
      <c r="H78" s="25"/>
      <c r="K78" s="54"/>
      <c r="L78" s="53">
        <f t="shared" si="4"/>
        <v>754000</v>
      </c>
      <c r="M78" s="64"/>
      <c r="N78" s="64"/>
      <c r="O78" s="64">
        <v>754000</v>
      </c>
      <c r="P78" s="64"/>
      <c r="Q78" s="64">
        <v>764000</v>
      </c>
      <c r="R78" s="64">
        <v>1525000</v>
      </c>
      <c r="S78" s="64"/>
      <c r="T78" s="64"/>
      <c r="U78" s="64"/>
      <c r="V78" s="64"/>
      <c r="W78" s="64"/>
      <c r="X78" s="64"/>
      <c r="Y78" s="64">
        <f t="shared" si="12"/>
        <v>3043000</v>
      </c>
    </row>
    <row r="79" spans="1:25" s="16" customFormat="1" ht="18.75" customHeight="1">
      <c r="A79" s="1"/>
      <c r="B79" s="29"/>
      <c r="C79" s="67" t="s">
        <v>106</v>
      </c>
      <c r="D79" s="32">
        <f t="shared" si="10"/>
        <v>6648900</v>
      </c>
      <c r="E79" s="30"/>
      <c r="F79" s="25">
        <f t="shared" si="11"/>
        <v>6648900</v>
      </c>
      <c r="G79" s="33">
        <v>6648900</v>
      </c>
      <c r="H79" s="25"/>
      <c r="K79" s="54"/>
      <c r="L79" s="53">
        <f t="shared" si="4"/>
        <v>7000</v>
      </c>
      <c r="M79" s="64"/>
      <c r="N79" s="64"/>
      <c r="O79" s="64">
        <v>7000</v>
      </c>
      <c r="P79" s="64"/>
      <c r="Q79" s="64"/>
      <c r="R79" s="64">
        <v>3315950</v>
      </c>
      <c r="S79" s="64"/>
      <c r="T79" s="64"/>
      <c r="U79" s="64">
        <v>1000000</v>
      </c>
      <c r="V79" s="64">
        <v>1000000</v>
      </c>
      <c r="W79" s="64">
        <v>1325950</v>
      </c>
      <c r="X79" s="64"/>
      <c r="Y79" s="64">
        <f t="shared" si="12"/>
        <v>6648900</v>
      </c>
    </row>
    <row r="80" spans="1:25" s="16" customFormat="1" ht="18.75" customHeight="1">
      <c r="A80" s="1"/>
      <c r="B80" s="29"/>
      <c r="C80" s="31" t="s">
        <v>34</v>
      </c>
      <c r="D80" s="32">
        <f t="shared" si="10"/>
        <v>2519000</v>
      </c>
      <c r="E80" s="30"/>
      <c r="F80" s="25">
        <f t="shared" si="11"/>
        <v>2519000</v>
      </c>
      <c r="G80" s="33">
        <v>2519000</v>
      </c>
      <c r="H80" s="25"/>
      <c r="K80" s="54"/>
      <c r="L80" s="53">
        <f t="shared" si="4"/>
        <v>630000</v>
      </c>
      <c r="M80" s="64"/>
      <c r="N80" s="64">
        <v>300000</v>
      </c>
      <c r="O80" s="64">
        <v>330000</v>
      </c>
      <c r="P80" s="64"/>
      <c r="Q80" s="64">
        <v>370000</v>
      </c>
      <c r="R80" s="64">
        <v>1519000</v>
      </c>
      <c r="S80" s="64"/>
      <c r="T80" s="64"/>
      <c r="U80" s="64"/>
      <c r="V80" s="64"/>
      <c r="W80" s="64"/>
      <c r="X80" s="64"/>
      <c r="Y80" s="64">
        <f t="shared" si="12"/>
        <v>2519000</v>
      </c>
    </row>
    <row r="81" spans="1:25" s="16" customFormat="1" ht="19.5" customHeight="1">
      <c r="A81" s="1"/>
      <c r="B81" s="29"/>
      <c r="C81" s="31" t="s">
        <v>35</v>
      </c>
      <c r="D81" s="32">
        <f t="shared" si="10"/>
        <v>4000000</v>
      </c>
      <c r="E81" s="30"/>
      <c r="F81" s="25">
        <f t="shared" si="11"/>
        <v>4000000</v>
      </c>
      <c r="G81" s="33">
        <f>125000+3875000</f>
        <v>4000000</v>
      </c>
      <c r="H81" s="25">
        <f>40071.36</f>
        <v>40071.36</v>
      </c>
      <c r="K81" s="54">
        <f>H81/D81*100</f>
        <v>1.001784</v>
      </c>
      <c r="L81" s="53">
        <f t="shared" si="4"/>
        <v>84928.64</v>
      </c>
      <c r="M81" s="64"/>
      <c r="N81" s="64"/>
      <c r="O81" s="64">
        <v>125000</v>
      </c>
      <c r="P81" s="64">
        <v>75000</v>
      </c>
      <c r="Q81" s="64"/>
      <c r="R81" s="64"/>
      <c r="S81" s="64">
        <v>1900000</v>
      </c>
      <c r="T81" s="64"/>
      <c r="U81" s="64"/>
      <c r="V81" s="64">
        <v>950000</v>
      </c>
      <c r="W81" s="64">
        <v>950000</v>
      </c>
      <c r="X81" s="64"/>
      <c r="Y81" s="64">
        <f t="shared" si="12"/>
        <v>4000000</v>
      </c>
    </row>
    <row r="82" spans="1:25" s="16" customFormat="1" ht="40.5" customHeight="1">
      <c r="A82" s="1"/>
      <c r="B82" s="29"/>
      <c r="C82" s="67" t="s">
        <v>36</v>
      </c>
      <c r="D82" s="32">
        <f t="shared" si="10"/>
        <v>147000</v>
      </c>
      <c r="E82" s="30"/>
      <c r="F82" s="25">
        <f t="shared" si="11"/>
        <v>147000</v>
      </c>
      <c r="G82" s="33">
        <f>462000+385000-700000</f>
        <v>147000</v>
      </c>
      <c r="H82" s="25"/>
      <c r="K82" s="54"/>
      <c r="L82" s="53">
        <f t="shared" si="4"/>
        <v>147000</v>
      </c>
      <c r="M82" s="64"/>
      <c r="N82" s="64">
        <v>462000</v>
      </c>
      <c r="O82" s="64">
        <v>-315000</v>
      </c>
      <c r="P82" s="64"/>
      <c r="Q82" s="64"/>
      <c r="R82" s="64"/>
      <c r="S82" s="64"/>
      <c r="T82" s="64"/>
      <c r="U82" s="64">
        <f>125000-125000</f>
        <v>0</v>
      </c>
      <c r="V82" s="64">
        <f>260000-260000</f>
        <v>0</v>
      </c>
      <c r="W82" s="64"/>
      <c r="X82" s="64"/>
      <c r="Y82" s="64">
        <f t="shared" si="12"/>
        <v>147000</v>
      </c>
    </row>
    <row r="83" spans="1:25" s="16" customFormat="1" ht="40.5" customHeight="1">
      <c r="A83" s="1"/>
      <c r="B83" s="29"/>
      <c r="C83" s="67" t="s">
        <v>107</v>
      </c>
      <c r="D83" s="32">
        <f t="shared" si="10"/>
        <v>3000000</v>
      </c>
      <c r="E83" s="30"/>
      <c r="F83" s="25">
        <f t="shared" si="11"/>
        <v>3000000</v>
      </c>
      <c r="G83" s="33">
        <v>3000000</v>
      </c>
      <c r="H83" s="25"/>
      <c r="K83" s="54"/>
      <c r="L83" s="53">
        <f t="shared" si="4"/>
        <v>0</v>
      </c>
      <c r="M83" s="64"/>
      <c r="N83" s="64"/>
      <c r="O83" s="64"/>
      <c r="P83" s="64">
        <v>80000</v>
      </c>
      <c r="Q83" s="64"/>
      <c r="R83" s="64"/>
      <c r="S83" s="64">
        <v>1460000</v>
      </c>
      <c r="T83" s="64">
        <v>1460000</v>
      </c>
      <c r="U83" s="64"/>
      <c r="V83" s="64"/>
      <c r="W83" s="64"/>
      <c r="X83" s="64"/>
      <c r="Y83" s="64">
        <f t="shared" si="12"/>
        <v>3000000</v>
      </c>
    </row>
    <row r="84" spans="1:25" s="16" customFormat="1" ht="40.5" customHeight="1">
      <c r="A84" s="1"/>
      <c r="B84" s="29"/>
      <c r="C84" s="31" t="s">
        <v>37</v>
      </c>
      <c r="D84" s="32">
        <f t="shared" si="10"/>
        <v>988000</v>
      </c>
      <c r="E84" s="30"/>
      <c r="F84" s="25">
        <f t="shared" si="11"/>
        <v>988000</v>
      </c>
      <c r="G84" s="33">
        <v>988000</v>
      </c>
      <c r="H84" s="25"/>
      <c r="K84" s="54"/>
      <c r="L84" s="53">
        <f t="shared" si="4"/>
        <v>988000</v>
      </c>
      <c r="M84" s="64"/>
      <c r="N84" s="64">
        <v>400000</v>
      </c>
      <c r="O84" s="64">
        <v>588000</v>
      </c>
      <c r="P84" s="64"/>
      <c r="Q84" s="64"/>
      <c r="R84" s="64"/>
      <c r="S84" s="64"/>
      <c r="T84" s="64"/>
      <c r="U84" s="64"/>
      <c r="V84" s="64"/>
      <c r="W84" s="64"/>
      <c r="X84" s="64"/>
      <c r="Y84" s="64">
        <f t="shared" si="12"/>
        <v>988000</v>
      </c>
    </row>
    <row r="85" spans="1:25" s="16" customFormat="1" ht="39.75" customHeight="1">
      <c r="A85" s="1"/>
      <c r="B85" s="29"/>
      <c r="C85" s="67" t="s">
        <v>38</v>
      </c>
      <c r="D85" s="32">
        <f t="shared" si="10"/>
        <v>254000</v>
      </c>
      <c r="E85" s="30"/>
      <c r="F85" s="25">
        <f t="shared" si="11"/>
        <v>254000</v>
      </c>
      <c r="G85" s="33">
        <f>314000+940000-1000000</f>
        <v>254000</v>
      </c>
      <c r="H85" s="25"/>
      <c r="K85" s="54"/>
      <c r="L85" s="53">
        <f t="shared" si="4"/>
        <v>254000</v>
      </c>
      <c r="M85" s="64"/>
      <c r="N85" s="64">
        <v>314000</v>
      </c>
      <c r="O85" s="64">
        <v>-60000</v>
      </c>
      <c r="P85" s="64">
        <f>940000-940000</f>
        <v>0</v>
      </c>
      <c r="Q85" s="64"/>
      <c r="R85" s="64"/>
      <c r="S85" s="64"/>
      <c r="T85" s="64"/>
      <c r="U85" s="64"/>
      <c r="V85" s="64"/>
      <c r="W85" s="64"/>
      <c r="X85" s="64"/>
      <c r="Y85" s="64">
        <f t="shared" si="12"/>
        <v>254000</v>
      </c>
    </row>
    <row r="86" spans="1:25" s="16" customFormat="1" ht="39.75" customHeight="1">
      <c r="A86" s="1"/>
      <c r="B86" s="29"/>
      <c r="C86" s="67" t="s">
        <v>108</v>
      </c>
      <c r="D86" s="32">
        <f t="shared" si="10"/>
        <v>16000000</v>
      </c>
      <c r="E86" s="30"/>
      <c r="F86" s="25">
        <f t="shared" si="11"/>
        <v>16000000</v>
      </c>
      <c r="G86" s="33">
        <v>16000000</v>
      </c>
      <c r="H86" s="25"/>
      <c r="K86" s="54"/>
      <c r="L86" s="53">
        <f t="shared" si="4"/>
        <v>1618000</v>
      </c>
      <c r="M86" s="64"/>
      <c r="N86" s="64"/>
      <c r="O86" s="64">
        <f>700000+418000+500000</f>
        <v>1618000</v>
      </c>
      <c r="P86" s="64"/>
      <c r="Q86" s="64"/>
      <c r="R86" s="64">
        <f>1547800+940000</f>
        <v>2487800</v>
      </c>
      <c r="S86" s="64"/>
      <c r="T86" s="64"/>
      <c r="U86" s="66">
        <v>1731585.76</v>
      </c>
      <c r="V86" s="64">
        <v>3000000</v>
      </c>
      <c r="W86" s="66">
        <v>3741261.78</v>
      </c>
      <c r="X86" s="66">
        <v>3421352.46</v>
      </c>
      <c r="Y86" s="64">
        <f t="shared" si="12"/>
        <v>16000000</v>
      </c>
    </row>
    <row r="87" spans="1:25" s="16" customFormat="1" ht="22.5" customHeight="1">
      <c r="A87" s="1"/>
      <c r="B87" s="29"/>
      <c r="C87" s="31" t="s">
        <v>39</v>
      </c>
      <c r="D87" s="32">
        <f t="shared" si="10"/>
        <v>137000</v>
      </c>
      <c r="E87" s="30"/>
      <c r="F87" s="25">
        <f t="shared" si="11"/>
        <v>137000</v>
      </c>
      <c r="G87" s="33">
        <f>837000-700000</f>
        <v>137000</v>
      </c>
      <c r="H87" s="25"/>
      <c r="K87" s="54"/>
      <c r="L87" s="53">
        <f t="shared" si="4"/>
        <v>137000</v>
      </c>
      <c r="M87" s="64"/>
      <c r="N87" s="64">
        <v>300000</v>
      </c>
      <c r="O87" s="64">
        <f>537000-700000</f>
        <v>-163000</v>
      </c>
      <c r="P87" s="64"/>
      <c r="Q87" s="64"/>
      <c r="R87" s="64"/>
      <c r="S87" s="64"/>
      <c r="T87" s="64"/>
      <c r="U87" s="64"/>
      <c r="V87" s="64"/>
      <c r="W87" s="64"/>
      <c r="X87" s="64"/>
      <c r="Y87" s="64">
        <f t="shared" si="12"/>
        <v>137000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1"/>
        <v>400000</v>
      </c>
      <c r="G88" s="33">
        <f>900000-500000</f>
        <v>400000</v>
      </c>
      <c r="H88" s="25"/>
      <c r="K88" s="54"/>
      <c r="L88" s="53">
        <f aca="true" t="shared" si="13" ref="L88:L108">M88+N88+O88-H88</f>
        <v>400000</v>
      </c>
      <c r="M88" s="64"/>
      <c r="N88" s="64">
        <v>300000</v>
      </c>
      <c r="O88" s="64">
        <f>600000-500000</f>
        <v>100000</v>
      </c>
      <c r="P88" s="64"/>
      <c r="Q88" s="64"/>
      <c r="R88" s="64"/>
      <c r="S88" s="64"/>
      <c r="T88" s="64"/>
      <c r="U88" s="64"/>
      <c r="V88" s="64"/>
      <c r="W88" s="64"/>
      <c r="X88" s="64"/>
      <c r="Y88" s="64">
        <f t="shared" si="12"/>
        <v>400000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1"/>
        <v>248000</v>
      </c>
      <c r="G89" s="25">
        <v>248000</v>
      </c>
      <c r="H89" s="25"/>
      <c r="K89" s="54"/>
      <c r="L89" s="53">
        <f t="shared" si="13"/>
        <v>248000</v>
      </c>
      <c r="M89" s="64"/>
      <c r="N89" s="64">
        <v>248000</v>
      </c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>
        <f t="shared" si="12"/>
        <v>248000</v>
      </c>
    </row>
    <row r="90" spans="1:25" s="16" customFormat="1" ht="40.5" customHeight="1">
      <c r="A90" s="1"/>
      <c r="B90" s="29"/>
      <c r="C90" s="67" t="s">
        <v>109</v>
      </c>
      <c r="D90" s="32">
        <f aca="true" t="shared" si="14" ref="D90:D98">F90</f>
        <v>13000000</v>
      </c>
      <c r="E90" s="6"/>
      <c r="F90" s="25">
        <f t="shared" si="11"/>
        <v>13000000</v>
      </c>
      <c r="G90" s="33">
        <v>13000000</v>
      </c>
      <c r="H90" s="25"/>
      <c r="K90" s="54"/>
      <c r="L90" s="53">
        <f t="shared" si="13"/>
        <v>0</v>
      </c>
      <c r="M90" s="64"/>
      <c r="N90" s="64"/>
      <c r="O90" s="64"/>
      <c r="P90" s="64">
        <v>20000</v>
      </c>
      <c r="Q90" s="64"/>
      <c r="R90" s="64">
        <v>6490000</v>
      </c>
      <c r="S90" s="64"/>
      <c r="T90" s="64">
        <v>6490000</v>
      </c>
      <c r="U90" s="64"/>
      <c r="V90" s="64"/>
      <c r="W90" s="64"/>
      <c r="X90" s="64"/>
      <c r="Y90" s="64">
        <f t="shared" si="12"/>
        <v>13000000</v>
      </c>
    </row>
    <row r="91" spans="1:25" s="16" customFormat="1" ht="40.5" customHeight="1">
      <c r="A91" s="1"/>
      <c r="B91" s="29"/>
      <c r="C91" s="67" t="s">
        <v>110</v>
      </c>
      <c r="D91" s="32">
        <f t="shared" si="14"/>
        <v>400000</v>
      </c>
      <c r="E91" s="6"/>
      <c r="F91" s="25">
        <f t="shared" si="11"/>
        <v>400000</v>
      </c>
      <c r="G91" s="33">
        <v>400000</v>
      </c>
      <c r="H91" s="25"/>
      <c r="K91" s="54"/>
      <c r="L91" s="53">
        <f t="shared" si="13"/>
        <v>0</v>
      </c>
      <c r="M91" s="64"/>
      <c r="N91" s="64"/>
      <c r="O91" s="64"/>
      <c r="P91" s="64"/>
      <c r="Q91" s="64">
        <v>120000</v>
      </c>
      <c r="R91" s="64">
        <v>140000</v>
      </c>
      <c r="S91" s="64">
        <v>140000</v>
      </c>
      <c r="T91" s="64"/>
      <c r="U91" s="64"/>
      <c r="V91" s="64"/>
      <c r="W91" s="64"/>
      <c r="X91" s="64"/>
      <c r="Y91" s="64">
        <f t="shared" si="12"/>
        <v>400000</v>
      </c>
    </row>
    <row r="92" spans="1:25" s="16" customFormat="1" ht="40.5" customHeight="1">
      <c r="A92" s="1"/>
      <c r="B92" s="29"/>
      <c r="C92" s="67" t="s">
        <v>111</v>
      </c>
      <c r="D92" s="32">
        <f t="shared" si="14"/>
        <v>300000</v>
      </c>
      <c r="E92" s="6"/>
      <c r="F92" s="25">
        <f t="shared" si="11"/>
        <v>300000</v>
      </c>
      <c r="G92" s="33">
        <v>300000</v>
      </c>
      <c r="H92" s="25"/>
      <c r="K92" s="54"/>
      <c r="L92" s="53">
        <f t="shared" si="13"/>
        <v>0</v>
      </c>
      <c r="M92" s="64"/>
      <c r="N92" s="64"/>
      <c r="O92" s="64"/>
      <c r="P92" s="64"/>
      <c r="Q92" s="64"/>
      <c r="R92" s="64"/>
      <c r="S92" s="64">
        <v>100000</v>
      </c>
      <c r="T92" s="64">
        <v>100000</v>
      </c>
      <c r="U92" s="64">
        <v>100000</v>
      </c>
      <c r="V92" s="64"/>
      <c r="W92" s="64"/>
      <c r="X92" s="64"/>
      <c r="Y92" s="64">
        <f t="shared" si="12"/>
        <v>300000</v>
      </c>
    </row>
    <row r="93" spans="1:25" s="16" customFormat="1" ht="40.5" customHeight="1">
      <c r="A93" s="1"/>
      <c r="B93" s="29"/>
      <c r="C93" s="67" t="s">
        <v>112</v>
      </c>
      <c r="D93" s="32">
        <f t="shared" si="14"/>
        <v>300000</v>
      </c>
      <c r="E93" s="6"/>
      <c r="F93" s="25">
        <f t="shared" si="11"/>
        <v>300000</v>
      </c>
      <c r="G93" s="33">
        <v>300000</v>
      </c>
      <c r="H93" s="25"/>
      <c r="K93" s="54"/>
      <c r="L93" s="53">
        <f t="shared" si="13"/>
        <v>0</v>
      </c>
      <c r="M93" s="64"/>
      <c r="N93" s="64"/>
      <c r="O93" s="64"/>
      <c r="P93" s="64"/>
      <c r="Q93" s="64"/>
      <c r="R93" s="64"/>
      <c r="S93" s="64"/>
      <c r="T93" s="64">
        <v>100000</v>
      </c>
      <c r="U93" s="64">
        <v>100000</v>
      </c>
      <c r="V93" s="64">
        <v>100000</v>
      </c>
      <c r="W93" s="64"/>
      <c r="X93" s="64"/>
      <c r="Y93" s="64">
        <f t="shared" si="12"/>
        <v>300000</v>
      </c>
    </row>
    <row r="94" spans="1:25" s="16" customFormat="1" ht="40.5" customHeight="1">
      <c r="A94" s="1"/>
      <c r="B94" s="29"/>
      <c r="C94" s="67" t="s">
        <v>113</v>
      </c>
      <c r="D94" s="32">
        <f t="shared" si="14"/>
        <v>538000</v>
      </c>
      <c r="E94" s="6"/>
      <c r="F94" s="25">
        <f t="shared" si="11"/>
        <v>538000</v>
      </c>
      <c r="G94" s="33">
        <v>538000</v>
      </c>
      <c r="H94" s="25"/>
      <c r="K94" s="54"/>
      <c r="L94" s="53">
        <f t="shared" si="13"/>
        <v>0</v>
      </c>
      <c r="M94" s="64"/>
      <c r="N94" s="64"/>
      <c r="O94" s="64"/>
      <c r="P94" s="64"/>
      <c r="Q94" s="64"/>
      <c r="R94" s="64">
        <v>160000</v>
      </c>
      <c r="S94" s="64">
        <v>189000</v>
      </c>
      <c r="T94" s="64">
        <v>189000</v>
      </c>
      <c r="U94" s="64"/>
      <c r="V94" s="64"/>
      <c r="W94" s="64"/>
      <c r="X94" s="64"/>
      <c r="Y94" s="64">
        <f t="shared" si="12"/>
        <v>538000</v>
      </c>
    </row>
    <row r="95" spans="1:25" s="16" customFormat="1" ht="21" customHeight="1">
      <c r="A95" s="1"/>
      <c r="B95" s="29"/>
      <c r="C95" s="67" t="s">
        <v>114</v>
      </c>
      <c r="D95" s="32">
        <f t="shared" si="14"/>
        <v>5000</v>
      </c>
      <c r="E95" s="6"/>
      <c r="F95" s="25">
        <f t="shared" si="11"/>
        <v>5000</v>
      </c>
      <c r="G95" s="33">
        <v>5000</v>
      </c>
      <c r="H95" s="25"/>
      <c r="K95" s="54"/>
      <c r="L95" s="53">
        <f t="shared" si="13"/>
        <v>0</v>
      </c>
      <c r="M95" s="64"/>
      <c r="N95" s="64"/>
      <c r="O95" s="64"/>
      <c r="P95" s="64"/>
      <c r="Q95" s="64">
        <v>5000</v>
      </c>
      <c r="R95" s="64"/>
      <c r="S95" s="64"/>
      <c r="T95" s="64"/>
      <c r="U95" s="64"/>
      <c r="V95" s="64"/>
      <c r="W95" s="64"/>
      <c r="X95" s="64"/>
      <c r="Y95" s="64">
        <f t="shared" si="12"/>
        <v>5000</v>
      </c>
    </row>
    <row r="96" spans="1:25" s="16" customFormat="1" ht="26.25" customHeight="1">
      <c r="A96" s="1"/>
      <c r="B96" s="29"/>
      <c r="C96" s="67" t="s">
        <v>115</v>
      </c>
      <c r="D96" s="32">
        <f t="shared" si="14"/>
        <v>20640</v>
      </c>
      <c r="E96" s="6"/>
      <c r="F96" s="25">
        <f t="shared" si="11"/>
        <v>20640</v>
      </c>
      <c r="G96" s="33">
        <v>20640</v>
      </c>
      <c r="H96" s="25"/>
      <c r="K96" s="54"/>
      <c r="L96" s="53">
        <f t="shared" si="13"/>
        <v>0</v>
      </c>
      <c r="M96" s="64"/>
      <c r="N96" s="64"/>
      <c r="O96" s="64"/>
      <c r="P96" s="64"/>
      <c r="Q96" s="64"/>
      <c r="R96" s="64"/>
      <c r="S96" s="64"/>
      <c r="T96" s="64"/>
      <c r="U96" s="64">
        <v>20640</v>
      </c>
      <c r="V96" s="64"/>
      <c r="W96" s="64"/>
      <c r="X96" s="64"/>
      <c r="Y96" s="64">
        <f t="shared" si="12"/>
        <v>20640</v>
      </c>
    </row>
    <row r="97" spans="1:25" s="16" customFormat="1" ht="22.5" customHeight="1">
      <c r="A97" s="1"/>
      <c r="B97" s="29"/>
      <c r="C97" s="71" t="s">
        <v>116</v>
      </c>
      <c r="D97" s="32">
        <f t="shared" si="14"/>
        <v>250000</v>
      </c>
      <c r="E97" s="6"/>
      <c r="F97" s="25">
        <f t="shared" si="11"/>
        <v>250000</v>
      </c>
      <c r="G97" s="33">
        <v>250000</v>
      </c>
      <c r="H97" s="25"/>
      <c r="K97" s="54"/>
      <c r="L97" s="53">
        <f t="shared" si="13"/>
        <v>0</v>
      </c>
      <c r="M97" s="64"/>
      <c r="N97" s="64"/>
      <c r="O97" s="64"/>
      <c r="P97" s="64"/>
      <c r="Q97" s="64"/>
      <c r="R97" s="64"/>
      <c r="S97" s="64"/>
      <c r="T97" s="64"/>
      <c r="U97" s="64">
        <v>250000</v>
      </c>
      <c r="V97" s="64"/>
      <c r="W97" s="64"/>
      <c r="X97" s="64"/>
      <c r="Y97" s="64">
        <f t="shared" si="12"/>
        <v>250000</v>
      </c>
    </row>
    <row r="98" spans="1:25" s="16" customFormat="1" ht="22.5" customHeight="1">
      <c r="A98" s="1"/>
      <c r="B98" s="29"/>
      <c r="C98" s="67" t="s">
        <v>117</v>
      </c>
      <c r="D98" s="32">
        <f t="shared" si="14"/>
        <v>50000</v>
      </c>
      <c r="E98" s="6"/>
      <c r="F98" s="25">
        <f t="shared" si="11"/>
        <v>50000</v>
      </c>
      <c r="G98" s="33">
        <v>50000</v>
      </c>
      <c r="H98" s="25"/>
      <c r="K98" s="54"/>
      <c r="L98" s="53">
        <f t="shared" si="13"/>
        <v>0</v>
      </c>
      <c r="M98" s="64"/>
      <c r="N98" s="64"/>
      <c r="O98" s="64"/>
      <c r="P98" s="64"/>
      <c r="Q98" s="64"/>
      <c r="R98" s="64"/>
      <c r="S98" s="64"/>
      <c r="T98" s="64"/>
      <c r="U98" s="64">
        <v>50000</v>
      </c>
      <c r="V98" s="64"/>
      <c r="W98" s="64"/>
      <c r="X98" s="64"/>
      <c r="Y98" s="64">
        <f t="shared" si="12"/>
        <v>50000</v>
      </c>
    </row>
    <row r="99" spans="1:25" ht="18.75">
      <c r="A99" s="34"/>
      <c r="B99" s="18"/>
      <c r="C99" s="35" t="s">
        <v>10</v>
      </c>
      <c r="D99" s="20">
        <f>D8+D51</f>
        <v>175182280</v>
      </c>
      <c r="E99" s="20">
        <f>E8+E51</f>
        <v>31744000</v>
      </c>
      <c r="F99" s="20">
        <f>F8+F51</f>
        <v>143438280</v>
      </c>
      <c r="G99" s="20">
        <f>G8+G51</f>
        <v>143438280</v>
      </c>
      <c r="H99" s="20">
        <f>H8+H51</f>
        <v>7983827.71</v>
      </c>
      <c r="K99" s="51">
        <f>H99/D99*100</f>
        <v>4.557440233110335</v>
      </c>
      <c r="L99" s="20">
        <f>L8+L51</f>
        <v>2072889.7900000003</v>
      </c>
      <c r="M99" s="20">
        <f>M8+M24+M52</f>
        <v>112816</v>
      </c>
      <c r="N99" s="20">
        <f aca="true" t="shared" si="15" ref="N99:X99">N8+N24+N52</f>
        <v>3716000</v>
      </c>
      <c r="O99" s="20">
        <f>O8+O24+O52</f>
        <v>13424000</v>
      </c>
      <c r="P99" s="20">
        <f t="shared" si="15"/>
        <v>25048968.990000002</v>
      </c>
      <c r="Q99" s="20">
        <f t="shared" si="15"/>
        <v>18428931.009999998</v>
      </c>
      <c r="R99" s="20">
        <f t="shared" si="15"/>
        <v>27063831.38</v>
      </c>
      <c r="S99" s="20">
        <f t="shared" si="15"/>
        <v>29510043.62</v>
      </c>
      <c r="T99" s="20">
        <f t="shared" si="15"/>
        <v>11665470.26</v>
      </c>
      <c r="U99" s="20">
        <f t="shared" si="15"/>
        <v>6526388.61</v>
      </c>
      <c r="V99" s="20">
        <f t="shared" si="15"/>
        <v>16586075.48</v>
      </c>
      <c r="W99" s="20">
        <f t="shared" si="15"/>
        <v>14762030.19</v>
      </c>
      <c r="X99" s="20">
        <f t="shared" si="15"/>
        <v>8337724.46</v>
      </c>
      <c r="Y99" s="20">
        <f>Y8+Y24+Y52</f>
        <v>175182280</v>
      </c>
    </row>
    <row r="100" spans="1:12" ht="18.75" hidden="1">
      <c r="A100" s="39" t="s">
        <v>40</v>
      </c>
      <c r="B100" s="40"/>
      <c r="C100" s="41"/>
      <c r="D100" s="42"/>
      <c r="E100" s="42"/>
      <c r="F100" s="42"/>
      <c r="G100" s="42"/>
      <c r="L100" s="53">
        <f t="shared" si="13"/>
        <v>0</v>
      </c>
    </row>
    <row r="101" spans="1:12" ht="18.75" hidden="1">
      <c r="A101" s="2"/>
      <c r="B101" s="36"/>
      <c r="C101" s="37"/>
      <c r="D101" s="3"/>
      <c r="E101" s="36"/>
      <c r="F101" s="36"/>
      <c r="L101" s="53">
        <f t="shared" si="13"/>
        <v>0</v>
      </c>
    </row>
  </sheetData>
  <sheetProtection/>
  <mergeCells count="25"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A50:K50"/>
    <mergeCell ref="W4:W5"/>
    <mergeCell ref="X4:X5"/>
    <mergeCell ref="Y4:Y5"/>
    <mergeCell ref="A7:K7"/>
    <mergeCell ref="S4:S5"/>
    <mergeCell ref="T4:T5"/>
    <mergeCell ref="U4:U5"/>
    <mergeCell ref="V4:V5"/>
    <mergeCell ref="O4:O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2016-04-05T14:05:31Z</dcterms:modified>
  <cp:category/>
  <cp:version/>
  <cp:contentType/>
  <cp:contentStatus/>
</cp:coreProperties>
</file>